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cIN5opd54Y48478/CksgiNXI53HYsLJy7OpXxy9xCUvzwmuio2j0SXsUJs41CjAZ+KqmJ4zjUu55wlzDzC8+IQ==" workbookSaltValue="Zz2kYiYNScEHYrYnSpUu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U13" i="16"/>
  <c r="P13" i="14"/>
  <c r="R13" i="17"/>
  <c r="R8" i="9"/>
  <c r="BH30" i="16" s="1"/>
  <c r="I13" i="14"/>
  <c r="S18" i="14"/>
  <c r="V18"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8" i="14"/>
  <c r="T22" i="11"/>
  <c r="T12" i="11"/>
  <c r="R18" i="14"/>
  <c r="S28" i="14"/>
  <c r="V2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Q20" i="11" s="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5" i="11"/>
  <c r="Q18" i="20"/>
  <c r="Q23" i="20" s="1"/>
  <c r="BF28" i="11"/>
  <c r="BF18" i="11"/>
  <c r="BG22" i="11"/>
  <c r="V12" i="21"/>
  <c r="AZ18" i="11"/>
  <c r="AP21" i="20"/>
  <c r="BJ11" i="11"/>
  <c r="BH22" i="16"/>
  <c r="BU22" i="17"/>
  <c r="BV29" i="16"/>
  <c r="BV20" i="16"/>
  <c r="BF20" i="11"/>
  <c r="P16" i="17"/>
  <c r="P23" i="17" s="1"/>
  <c r="P31" i="17" s="1"/>
  <c r="BL16" i="1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X13" i="16"/>
  <c r="BH9" i="16"/>
  <c r="BF13" i="11"/>
  <c r="BH16" i="16"/>
  <c r="BG20" i="11"/>
  <c r="BK29" i="11"/>
  <c r="AZ19" i="11"/>
  <c r="BK11" i="11"/>
  <c r="AP10" i="21"/>
  <c r="BH20" i="16"/>
  <c r="R10" i="21"/>
  <c r="BJ20" i="11"/>
  <c r="BG16" i="11"/>
  <c r="BH13" i="11"/>
  <c r="BL13" i="11"/>
  <c r="Q13" i="11" s="1"/>
  <c r="BH18" i="11"/>
  <c r="BM16" i="11"/>
  <c r="Q16" i="11" s="1"/>
  <c r="AO28" i="17"/>
  <c r="BJ25" i="11"/>
  <c r="AZ16" i="11"/>
  <c r="AZ23" i="11" s="1"/>
  <c r="BU16" i="17"/>
  <c r="BU33" i="17" s="1"/>
  <c r="BW19" i="20"/>
  <c r="X20" i="16"/>
  <c r="BU10" i="17"/>
  <c r="BW25" i="20"/>
  <c r="U13" i="17"/>
  <c r="BU20" i="17"/>
  <c r="BW29" i="20"/>
  <c r="BW22" i="20"/>
  <c r="S11" i="17"/>
  <c r="BU17" i="17"/>
  <c r="S22" i="17"/>
  <c r="S25" i="17"/>
  <c r="AZ11" i="11"/>
  <c r="S16" i="16"/>
  <c r="S23" i="16" s="1"/>
  <c r="BL20" i="11"/>
  <c r="BF12" i="11"/>
  <c r="BH25" i="16"/>
  <c r="BJ10" i="11"/>
  <c r="BK17" i="11"/>
  <c r="Q16" i="17"/>
  <c r="BM18" i="11"/>
  <c r="BF16" i="11"/>
  <c r="BF23" i="11" s="1"/>
  <c r="BL22" i="11"/>
  <c r="AQ12" i="21"/>
  <c r="BH25" i="11"/>
  <c r="BK10" i="11"/>
  <c r="BK14" i="11" s="1"/>
  <c r="L28" i="2"/>
  <c r="X21" i="20"/>
  <c r="L16" i="2"/>
  <c r="L18" i="2"/>
  <c r="X16" i="16"/>
  <c r="X23" i="16" s="1"/>
  <c r="L9" i="2"/>
  <c r="V25" i="16"/>
  <c r="T28" i="11"/>
  <c r="T19" i="11"/>
  <c r="R22" i="14"/>
  <c r="R11" i="14"/>
  <c r="S21" i="14"/>
  <c r="V21" i="14" s="1"/>
  <c r="S10" i="14"/>
  <c r="V10" i="14" s="1"/>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P16" i="11"/>
  <c r="AA31" i="11"/>
  <c r="S31" i="16"/>
  <c r="AZ26" i="11"/>
  <c r="AZ31" i="11"/>
  <c r="AZ14" i="11"/>
  <c r="Q25"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AC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Y32" i="11"/>
  <c r="AB32" i="16"/>
  <c r="AG32" i="11"/>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<sst xmlns="http://schemas.openxmlformats.org/spreadsheetml/2006/main" count="2682" uniqueCount="1193">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</sst>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c4xtNB/TVYaPFH4tyts1rX0Jrp7LJnsci07JGv4DOcIB+6fQ9+rs4ZJKqrWWl/+jSd7X11B5NRE4BnVmGO3g==" saltValue="YpQBcSiJWMxrWMO4dCiN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10</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26.06008583690987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10</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615</v>
      </c>
      <c r="D17" s="239">
        <f>IF(ISNUMBER(IF(D_I="SI",Datos!I17,Datos!I17+Datos!AC17)),IF(D_I="SI",Datos!I17,Datos!I17+Datos!AC17)," - ")</f>
        <v>615</v>
      </c>
      <c r="E17" s="240">
        <f>IF(ISNUMBER(IF(D_I="SI",Datos!J17,Datos!J17+Datos!AD17)),IF(D_I="SI",Datos!J17,Datos!J17+Datos!AD17)," - ")</f>
        <v>604</v>
      </c>
      <c r="F17" s="240">
        <f>IF(ISNUMBER(IF(D_I="SI",Datos!K17,Datos!K17+Datos!AE17)),IF(D_I="SI",Datos!K17,Datos!K17+Datos!AE17)," - ")</f>
        <v>694</v>
      </c>
      <c r="G17" s="1390" t="str">
        <f>IF(Datos!E17&lt;&gt;"",Datos!E17,Datos!D17)</f>
        <v>04</v>
      </c>
      <c r="H17" s="241">
        <f>IF(ISNUMBER(IF(D_I="SI",Datos!L17,Datos!L17+Datos!AF17)),IF(D_I="SI",Datos!L17,Datos!L17+Datos!AF17)," - ")</f>
        <v>525</v>
      </c>
      <c r="I17" s="1400" t="str">
        <f>IF(ISNUMBER(Datos!AS17/Datos!BM17),Datos!AS17/Datos!BM17," - ")</f>
        <v xml:space="preserve"> - </v>
      </c>
      <c r="J17" s="1401">
        <f>IF(ISNUMBER(Datos!BY17/Datos!CN17),Datos!BY17/Datos!CN17," - ")</f>
        <v>0</v>
      </c>
      <c r="K17" s="244">
        <f t="shared" si="3"/>
        <v>-0.14634146341463414</v>
      </c>
      <c r="L17" s="1402">
        <f>IF(ISNUMBER(NºAsuntos!I17/NºAsuntos!G17),(NºAsuntos!I17/NºAsuntos!G17)*11," - ")</f>
        <v>8.3213256484149856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47</v>
      </c>
      <c r="F18" s="240">
        <f>IF(ISNUMBER(IF(D_I="SI",Datos!K18,Datos!K18+Datos!AE18)),IF(D_I="SI",Datos!K18,Datos!K18+Datos!AE18)," - ")</f>
        <v>54</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-0.1206896551724138</v>
      </c>
      <c r="L18" s="1402">
        <f>IF(ISNUMBER(NºAsuntos!I18/NºAsuntos!G18),(NºAsuntos!I18/NºAsuntos!G18)*11," - ")</f>
        <v>10.388888888888889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673</v>
      </c>
      <c r="D23" s="1407">
        <f>SUBTOTAL(9,D16:D22)</f>
        <v>673</v>
      </c>
      <c r="E23" s="1408">
        <f>SUBTOTAL(9,E16:E22)</f>
        <v>651</v>
      </c>
      <c r="F23" s="1408">
        <f>SUBTOTAL(9,F16:F22)</f>
        <v>748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681</v>
      </c>
      <c r="D31" s="1435">
        <f>SUBTOTAL(9,D9:D30)</f>
        <v>681</v>
      </c>
      <c r="E31" s="1436">
        <f>SUBTOTAL(9,E9:E30)</f>
        <v>661</v>
      </c>
      <c r="F31" s="1436">
        <f>SUBTOTAL(9,F9:F30)</f>
        <v>752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35s2CE8tVLryLRKlIvEWCX5/EzP0GqHOmUhGg2fNOpPdab++LUqdlR5Z4z+DxS3VsyuaYr+fHrDJh5JnxtmKQ==" saltValue="LF1HJb76BPOfVb1Tb+vi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zQxicKW8W7C0HsLdj4Cv2o8O/BtzHqxprcQM8LYfmaT/nTCpZrC4p5v+U7W/PgH2jQ64OAtuWRKMg1DE+fmyQ==" saltValue="u2Tt14CQwzLHUwyjSxeN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10</v>
      </c>
      <c r="K10" s="194">
        <v>4</v>
      </c>
      <c r="L10" s="194">
        <v>14</v>
      </c>
      <c r="M10" s="194">
        <v>4</v>
      </c>
      <c r="N10" s="194">
        <v>0</v>
      </c>
      <c r="O10" s="194">
        <v>0</v>
      </c>
      <c r="P10" s="194">
        <v>1</v>
      </c>
      <c r="Q10" s="194">
        <v>0</v>
      </c>
      <c r="R10" s="194">
        <v>5</v>
      </c>
      <c r="S10" s="194">
        <v>18</v>
      </c>
      <c r="T10" s="194">
        <v>4</v>
      </c>
      <c r="U10" s="194">
        <v>5</v>
      </c>
      <c r="V10" s="194">
        <v>16</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4</v>
      </c>
      <c r="BA10" s="139">
        <f t="shared" si="0"/>
        <v>5</v>
      </c>
      <c r="BB10" s="139">
        <f t="shared" si="0"/>
        <v>16</v>
      </c>
      <c r="BC10" s="135">
        <f t="shared" si="0"/>
        <v>4</v>
      </c>
      <c r="BD10" s="136">
        <f>IF(ISNUMBER(BA10/AZ10),BA10/AZ10," - ")</f>
        <v>1.25</v>
      </c>
      <c r="BE10" s="137">
        <f>IF(ISNUMBER(BB10/BA10),BB10/BA10, " - ")</f>
        <v>3.2</v>
      </c>
      <c r="BF10" s="137">
        <f>IF(ISNUMBER(BC10/BA10),BC10/BA10, " - ")</f>
        <v>0.8</v>
      </c>
      <c r="BG10" s="209">
        <f>IF(ISNUMBER((AY10+AZ10)/BA10),(AY10+AZ10)/BA10," - ")</f>
        <v>4.4000000000000004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450</v>
      </c>
      <c r="J12" s="196">
        <v>251</v>
      </c>
      <c r="K12" s="196">
        <v>191</v>
      </c>
      <c r="L12" s="196">
        <v>510</v>
      </c>
      <c r="M12" s="196">
        <v>55</v>
      </c>
      <c r="N12" s="196">
        <v>84</v>
      </c>
      <c r="O12" s="194">
        <v>94</v>
      </c>
      <c r="P12" s="196">
        <v>63</v>
      </c>
      <c r="Q12" s="196">
        <v>87</v>
      </c>
      <c r="R12" s="196">
        <v>961</v>
      </c>
      <c r="S12" s="196">
        <v>579</v>
      </c>
      <c r="T12" s="196">
        <v>308</v>
      </c>
      <c r="U12" s="196">
        <v>321</v>
      </c>
      <c r="V12" s="196">
        <v>566</v>
      </c>
      <c r="W12" s="196">
        <v>80</v>
      </c>
      <c r="X12" s="202">
        <v>151</v>
      </c>
      <c r="Y12" s="204">
        <v>40</v>
      </c>
      <c r="Z12" s="194">
        <v>44</v>
      </c>
      <c r="AA12" s="194">
        <v>42</v>
      </c>
      <c r="AB12" s="194">
        <v>42</v>
      </c>
      <c r="AC12" s="196">
        <v>0</v>
      </c>
      <c r="AD12" s="196">
        <v>0</v>
      </c>
      <c r="AE12" s="196">
        <v>0</v>
      </c>
      <c r="AF12" s="202">
        <v>0</v>
      </c>
      <c r="AG12" s="215">
        <v>11</v>
      </c>
      <c r="AH12" s="196">
        <v>57</v>
      </c>
      <c r="AI12" s="196">
        <v>44</v>
      </c>
      <c r="AJ12" s="216">
        <v>24</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365</v>
      </c>
      <c r="BA12" s="137">
        <f t="shared" si="1"/>
        <v>365</v>
      </c>
      <c r="BB12" s="137">
        <f t="shared" si="1"/>
        <v>590</v>
      </c>
      <c r="BC12" s="135">
        <f>IF(ISNUMBER(X12),X12," - ")</f>
        <v>151</v>
      </c>
      <c r="BD12" s="136">
        <f t="shared" si="2"/>
        <v>1</v>
      </c>
      <c r="BE12" s="137">
        <f t="shared" si="3"/>
        <v>1.6164383561643836</v>
      </c>
      <c r="BF12" s="137">
        <f t="shared" si="4"/>
        <v>0.41369863013698632</v>
      </c>
      <c r="BG12" s="209">
        <f t="shared" si="5"/>
        <v>2.6164383561643834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458</v>
      </c>
      <c r="J14" s="197">
        <f t="shared" si="7"/>
        <v>261</v>
      </c>
      <c r="K14" s="197">
        <f t="shared" si="7"/>
        <v>195</v>
      </c>
      <c r="L14" s="197">
        <f t="shared" si="7"/>
        <v>524</v>
      </c>
      <c r="M14" s="197">
        <f t="shared" si="7"/>
        <v>59</v>
      </c>
      <c r="N14" s="197">
        <f t="shared" si="7"/>
        <v>84</v>
      </c>
      <c r="O14" s="197">
        <f t="shared" si="7"/>
        <v>94</v>
      </c>
      <c r="P14" s="197">
        <f t="shared" si="7"/>
        <v>64</v>
      </c>
      <c r="Q14" s="197">
        <f t="shared" si="7"/>
        <v>87</v>
      </c>
      <c r="R14" s="197">
        <f t="shared" si="7"/>
        <v>966</v>
      </c>
      <c r="S14" s="197">
        <f t="shared" si="7"/>
        <v>597</v>
      </c>
      <c r="T14" s="197">
        <f t="shared" si="7"/>
        <v>312</v>
      </c>
      <c r="U14" s="197">
        <f t="shared" si="7"/>
        <v>326</v>
      </c>
      <c r="V14" s="197">
        <f t="shared" si="7"/>
        <v>582</v>
      </c>
      <c r="W14" s="197">
        <f t="shared" si="7"/>
        <v>84</v>
      </c>
      <c r="X14" s="197">
        <f t="shared" si="7"/>
        <v>152</v>
      </c>
      <c r="Y14" s="197">
        <f t="shared" si="7"/>
        <v>40</v>
      </c>
      <c r="Z14" s="197">
        <f t="shared" si="7"/>
        <v>44</v>
      </c>
      <c r="AA14" s="197">
        <f t="shared" si="7"/>
        <v>42</v>
      </c>
      <c r="AB14" s="197">
        <f t="shared" si="7"/>
        <v>42</v>
      </c>
      <c r="AC14" s="197">
        <f t="shared" si="7"/>
        <v>0</v>
      </c>
      <c r="AD14" s="197">
        <f t="shared" si="7"/>
        <v>0</v>
      </c>
      <c r="AE14" s="197">
        <f t="shared" si="7"/>
        <v>0</v>
      </c>
      <c r="AF14" s="197">
        <f>SUBTOTAL(9,AF9:AF13)</f>
        <v>0</v>
      </c>
      <c r="AG14" s="197">
        <f t="shared" ref="AG14:AT14" si="8">SUBTOTAL(9,AG8:AG13)</f>
        <v>11</v>
      </c>
      <c r="AH14" s="197">
        <f t="shared" si="8"/>
        <v>57</v>
      </c>
      <c r="AI14" s="197">
        <f t="shared" si="8"/>
        <v>44</v>
      </c>
      <c r="AJ14" s="197">
        <f t="shared" si="8"/>
        <v>24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608</v>
      </c>
      <c r="AZ14" s="197">
        <f>SUBTOTAL(9,AZ8:AZ13)</f>
        <v>369</v>
      </c>
      <c r="BA14" s="197">
        <f>SUBTOTAL(9,BA8:BA13)</f>
        <v>370</v>
      </c>
      <c r="BB14" s="197">
        <f>SUBTOTAL(9,BB8:BB13)</f>
        <v>606</v>
      </c>
      <c r="BC14" s="197">
        <f>SUBTOTAL(9,BC8:BC13)</f>
        <v>155</v>
      </c>
      <c r="BD14" s="219">
        <f>IF(ISNUMBER(BA14/AZ14),BA14/AZ14," - ")</f>
        <v>1.0027100271002709</v>
      </c>
      <c r="BE14" s="220">
        <f>IF(ISNUMBER(BB14/BA14),BB14/BA14, " - ")</f>
        <v>1.6378378378378378</v>
      </c>
      <c r="BF14" s="220">
        <f>IF(ISNUMBER(BC14/BA14),BC14/BA14, " - ")</f>
        <v>0.41891891891891891</v>
      </c>
      <c r="BG14" s="221">
        <f>IF(ISNUMBER((AY14+AZ14)/BA14),(AY14+AZ14)/BA14," - ")</f>
        <v>2.6405405405405404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615</v>
      </c>
      <c r="J17" s="196">
        <v>604</v>
      </c>
      <c r="K17" s="196">
        <v>694</v>
      </c>
      <c r="L17" s="196">
        <v>525</v>
      </c>
      <c r="M17" s="196">
        <v>56</v>
      </c>
      <c r="N17" s="196">
        <v>573</v>
      </c>
      <c r="O17" s="194">
        <v>10</v>
      </c>
      <c r="P17" s="196">
        <v>0</v>
      </c>
      <c r="Q17" s="196">
        <v>21</v>
      </c>
      <c r="R17" s="196">
        <v>25</v>
      </c>
      <c r="S17" s="196">
        <v>465</v>
      </c>
      <c r="T17" s="196">
        <v>642</v>
      </c>
      <c r="U17" s="196">
        <v>647</v>
      </c>
      <c r="V17" s="196">
        <v>462</v>
      </c>
      <c r="W17" s="196">
        <v>43</v>
      </c>
      <c r="X17" s="202">
        <v>528</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465</v>
      </c>
      <c r="AZ17" s="137">
        <f t="shared" si="10"/>
        <v>642</v>
      </c>
      <c r="BA17" s="137">
        <f t="shared" si="10"/>
        <v>647</v>
      </c>
      <c r="BB17" s="137">
        <f t="shared" si="10"/>
        <v>462</v>
      </c>
      <c r="BC17" s="135">
        <f>IF(ISNUMBER(W17),W17," - ")</f>
        <v>43</v>
      </c>
      <c r="BD17" s="136">
        <f t="shared" ref="BD17:BD22" si="12">IF(ISNUMBER(BA17/AZ17),BA17/AZ17," - ")</f>
        <v>1.0077881619937694</v>
      </c>
      <c r="BE17" s="137">
        <f t="shared" ref="BE17:BE22" si="13">IF(ISNUMBER(BB17/BA17),BB17/BA17, " - ")</f>
        <v>0.71406491499227198</v>
      </c>
      <c r="BF17" s="137">
        <f t="shared" ref="BF17:BF22" si="14">IF(ISNUMBER(BC17/BA17),BC17/BA17, " - ")</f>
        <v>6.6460587326120563E-2</v>
      </c>
      <c r="BG17" s="209">
        <f t="shared" si="11"/>
        <v>1.7109737248840804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47</v>
      </c>
      <c r="K18" s="196">
        <v>54</v>
      </c>
      <c r="L18" s="196">
        <v>51</v>
      </c>
      <c r="M18" s="196">
        <v>12</v>
      </c>
      <c r="N18" s="196">
        <v>24</v>
      </c>
      <c r="O18" s="196">
        <v>2</v>
      </c>
      <c r="P18" s="196">
        <v>5</v>
      </c>
      <c r="Q18" s="196">
        <v>2</v>
      </c>
      <c r="R18" s="196">
        <v>3</v>
      </c>
      <c r="S18" s="196">
        <v>64</v>
      </c>
      <c r="T18" s="196">
        <v>34</v>
      </c>
      <c r="U18" s="196">
        <v>40</v>
      </c>
      <c r="V18" s="196">
        <v>58</v>
      </c>
      <c r="W18" s="196">
        <v>4</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34</v>
      </c>
      <c r="BA18" s="139">
        <f t="shared" si="15"/>
        <v>40</v>
      </c>
      <c r="BB18" s="139">
        <f t="shared" si="15"/>
        <v>58</v>
      </c>
      <c r="BC18" s="135">
        <f>IF(ISNUMBER(W18),W18," - ")</f>
        <v>4</v>
      </c>
      <c r="BD18" s="136">
        <f>IF(ISNUMBER(BA18/AZ18),BA18/AZ18," - ")</f>
        <v>1.1764705882352942</v>
      </c>
      <c r="BE18" s="137">
        <f>IF(ISNUMBER(BB18/BA18),BB18/BA18, " - ")</f>
        <v>1.45</v>
      </c>
      <c r="BF18" s="137">
        <f>IF(ISNUMBER(BC18/BA18),BC18/BA18, " - ")</f>
        <v>0.1</v>
      </c>
      <c r="BG18" s="209">
        <f>IF(ISNUMBER((AY18+AZ18)/BA18),(AY18+AZ18)/BA18," - ")</f>
        <v>2.4500000000000002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673</v>
      </c>
      <c r="J23" s="197">
        <f t="shared" si="21"/>
        <v>651</v>
      </c>
      <c r="K23" s="197">
        <f t="shared" si="21"/>
        <v>748</v>
      </c>
      <c r="L23" s="197">
        <f t="shared" si="21"/>
        <v>576</v>
      </c>
      <c r="M23" s="197">
        <f t="shared" si="21"/>
        <v>68</v>
      </c>
      <c r="N23" s="197">
        <f t="shared" si="21"/>
        <v>597</v>
      </c>
      <c r="O23" s="197">
        <f t="shared" si="21"/>
        <v>12</v>
      </c>
      <c r="P23" s="197">
        <f t="shared" si="21"/>
        <v>5</v>
      </c>
      <c r="Q23" s="197">
        <f t="shared" si="21"/>
        <v>23</v>
      </c>
      <c r="R23" s="197">
        <f t="shared" si="21"/>
        <v>28</v>
      </c>
      <c r="S23" s="197">
        <f t="shared" si="21"/>
        <v>529</v>
      </c>
      <c r="T23" s="197">
        <f t="shared" si="21"/>
        <v>676</v>
      </c>
      <c r="U23" s="197">
        <f t="shared" si="21"/>
        <v>687</v>
      </c>
      <c r="V23" s="197">
        <f t="shared" si="21"/>
        <v>520</v>
      </c>
      <c r="W23" s="197">
        <f t="shared" si="21"/>
        <v>47</v>
      </c>
      <c r="X23" s="197">
        <f t="shared" si="21"/>
        <v>559</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529</v>
      </c>
      <c r="AZ23" s="197">
        <f>SUBTOTAL(9,AZ15:AZ22)</f>
        <v>676</v>
      </c>
      <c r="BA23" s="197">
        <f>SUBTOTAL(9,BA15:BA22)</f>
        <v>687</v>
      </c>
      <c r="BB23" s="197">
        <f>SUBTOTAL(9,BB15:BB22)</f>
        <v>520</v>
      </c>
      <c r="BC23" s="197">
        <f>SUBTOTAL(9,BC15:BC22)</f>
        <v>47</v>
      </c>
      <c r="BD23" s="219">
        <f>IF(ISNUMBER(BA23/AZ23),BA23/AZ23," - ")</f>
        <v>1.0162721893491125</v>
      </c>
      <c r="BE23" s="220">
        <f>IF(ISNUMBER(BB23/BA23),BB23/BA23, " - ")</f>
        <v>0.75691411935953423</v>
      </c>
      <c r="BF23" s="220">
        <f>IF(ISNUMBER(BC23/BA23),BC23/BA23, " - ")</f>
        <v>6.8413391557496359E-2</v>
      </c>
      <c r="BG23" s="221">
        <f>IF(ISNUMBER((AY23+AZ23)/BA23),(AY23+AZ23)/BA23," - ")</f>
        <v>1.7540029112081514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1131</v>
      </c>
      <c r="J31" s="144">
        <f t="shared" si="36"/>
        <v>912</v>
      </c>
      <c r="K31" s="144">
        <f t="shared" si="36"/>
        <v>943</v>
      </c>
      <c r="L31" s="144">
        <f t="shared" si="36"/>
        <v>1100</v>
      </c>
      <c r="M31" s="144">
        <f t="shared" si="36"/>
        <v>127</v>
      </c>
      <c r="N31" s="144">
        <f t="shared" si="36"/>
        <v>681</v>
      </c>
      <c r="O31" s="144">
        <f t="shared" si="36"/>
        <v>106</v>
      </c>
      <c r="P31" s="144">
        <f t="shared" si="36"/>
        <v>69</v>
      </c>
      <c r="Q31" s="144">
        <f t="shared" si="36"/>
        <v>110</v>
      </c>
      <c r="R31" s="144">
        <f t="shared" si="36"/>
        <v>994</v>
      </c>
      <c r="S31" s="144">
        <f t="shared" si="36"/>
        <v>1126</v>
      </c>
      <c r="T31" s="144">
        <f t="shared" si="36"/>
        <v>988</v>
      </c>
      <c r="U31" s="144">
        <f t="shared" si="36"/>
        <v>1013</v>
      </c>
      <c r="V31" s="144">
        <f t="shared" si="36"/>
        <v>1102</v>
      </c>
      <c r="W31" s="144">
        <f t="shared" si="36"/>
        <v>131</v>
      </c>
      <c r="X31" s="144">
        <f t="shared" si="36"/>
        <v>711</v>
      </c>
      <c r="Y31" s="144">
        <f t="shared" si="36"/>
        <v>40</v>
      </c>
      <c r="Z31" s="144">
        <f t="shared" si="36"/>
        <v>44</v>
      </c>
      <c r="AA31" s="144">
        <f t="shared" si="36"/>
        <v>42</v>
      </c>
      <c r="AB31" s="144">
        <f t="shared" si="36"/>
        <v>42</v>
      </c>
      <c r="AC31" s="144">
        <f t="shared" si="36"/>
        <v>0</v>
      </c>
      <c r="AD31" s="144">
        <f t="shared" si="36"/>
        <v>1</v>
      </c>
      <c r="AE31" s="144">
        <f t="shared" si="36"/>
        <v>0</v>
      </c>
      <c r="AF31" s="144">
        <f t="shared" si="36"/>
        <v>1</v>
      </c>
      <c r="AG31" s="144">
        <f t="shared" si="36"/>
        <v>11</v>
      </c>
      <c r="AH31" s="144">
        <f t="shared" si="36"/>
        <v>57</v>
      </c>
      <c r="AI31" s="144">
        <f t="shared" si="36"/>
        <v>44</v>
      </c>
      <c r="AJ31" s="144">
        <f t="shared" si="36"/>
        <v>24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1137</v>
      </c>
      <c r="AZ31" s="144">
        <f>SUBTOTAL(9,AZ9:AZ30)</f>
        <v>1045</v>
      </c>
      <c r="BA31" s="144">
        <f>SUBTOTAL(9,BA9:BA30)</f>
        <v>1057</v>
      </c>
      <c r="BB31" s="144">
        <f>SUBTOTAL(9,BB9:BB30)</f>
        <v>1126</v>
      </c>
      <c r="BC31" s="145">
        <f>SUBTOTAL(9,BC9:BC30)</f>
        <v>202</v>
      </c>
      <c r="BD31" s="227">
        <f>IF(ISNUMBER(BA31/AZ31),BA31/AZ31," - ")</f>
        <v>1.0114832535885168</v>
      </c>
      <c r="BE31" s="224">
        <f>IF(ISNUMBER(BB31/BA31),BB31/BA31, " - ")</f>
        <v>1.0652790917691579</v>
      </c>
      <c r="BF31" s="224">
        <f>IF(ISNUMBER(BC31/BA31),BC31/BA31, " - ")</f>
        <v>0.19110690633869443</v>
      </c>
      <c r="BG31" s="145">
        <f>IF(ISNUMBER((AY31+AZ31)/BA31),(AY31+AZ31)/BA31," - ")</f>
        <v>2.064333017975402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UCWDZr8BZz+2PD4VW6e6dtsyhlFtiLouzh2NB/c9CwSxURAZYRSje/hpUWrfn1ZIoFVG3hG3zluNQkLS9vqw==" saltValue="F1CTcVa6euk+cA1KtWKF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rYjhe/89UwNRHC5pAbdbaOjQ1wMr1IOs0uxH8c5Kc/YqKhPISNZVvjLl6GMBJrtEkb/1ZD/H3bCTTMNyz5Rg==" saltValue="bvmK9k9Y+h+DqnUooH+w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BAZA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961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0.78983050847457625</v>
      </c>
      <c r="BH12" s="764">
        <f>IF(ISNUMBER(((IF(J_V="SI",Datos!L12/Datos!K12,(Datos!L12+Datos!AB12)/(Datos!K12+Datos!AA12)))*11)/factor_trimestre),((IF(J_V="SI",Datos!L12/Datos!K12,(Datos!L12+Datos!AB12)/(Datos!K12+Datos!AA12)))*11)/factor_trimestre," - ")</f>
        <v>7.1072961373390555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-2.4365482233502538E-2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87</v>
      </c>
      <c r="AD14" s="1198">
        <f t="shared" si="2"/>
        <v>0</v>
      </c>
      <c r="AE14" s="1198">
        <f t="shared" si="2"/>
        <v>0</v>
      </c>
      <c r="AF14" s="1198">
        <f t="shared" si="2"/>
        <v>14</v>
      </c>
      <c r="AG14" s="1198">
        <f t="shared" si="2"/>
        <v>0</v>
      </c>
      <c r="AH14" s="1198">
        <f t="shared" si="2"/>
        <v>42</v>
      </c>
      <c r="AI14" s="1198">
        <f t="shared" si="2"/>
        <v>0</v>
      </c>
      <c r="AJ14" s="1198">
        <f t="shared" si="2"/>
        <v>0</v>
      </c>
      <c r="AK14" s="1198">
        <f t="shared" si="2"/>
        <v>0</v>
      </c>
      <c r="AL14" s="1198">
        <f t="shared" si="2"/>
        <v>0</v>
      </c>
      <c r="AM14" s="1198">
        <f t="shared" si="2"/>
        <v>966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84</v>
      </c>
      <c r="BE14" s="1198">
        <f t="shared" si="2"/>
        <v>0</v>
      </c>
      <c r="BF14" s="1198">
        <f t="shared" si="2"/>
        <v>0</v>
      </c>
      <c r="BG14" s="1198">
        <f>IF(ISNUMBER(Datos!K14/Datos!J14),Datos!K14/Datos!J14," - ")</f>
        <v>0.74712643678160917</v>
      </c>
      <c r="BH14" s="1202">
        <f>IF(ISNUMBER(((Datos!L14/Datos!K14)*11)/factor_trimestre),((Datos!L14/Datos!K14)*11)/factor_trimestre," - ")</f>
        <v>8.0615384615384613</v>
      </c>
      <c r="BI14" s="1198">
        <f>IF(ISNUMBER('Resol  Asuntos'!D14/NºAsuntos!G14),'Resol  Asuntos'!D14/NºAsuntos!G14," - ")</f>
        <v>0.24894514767932491</v>
      </c>
      <c r="BJ14" s="1198" t="str">
        <f>IF(ISNUMBER(Datos!CI14/Datos!CJ14),Datos!CI14/Datos!CJ14," - ")</f>
        <v xml:space="preserve"> - </v>
      </c>
      <c r="BK14" s="1198">
        <f>SUBTOTAL(9,BK8:BK13)</f>
        <v>0</v>
      </c>
      <c r="BL14" s="1198">
        <f>IF(ISNUMBER((I14-AB14+L14)/(F14)),(I14-AB14+L14)/(F14)," - ")</f>
        <v>-0.5</v>
      </c>
      <c r="BM14" s="1203">
        <f>SUBTOTAL(9,BM9:BM13)</f>
        <v>0.22563451776649746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615</v>
      </c>
      <c r="G17" s="743">
        <f>IF(ISNUMBER(IF(D_I="SI",Datos!I17,Datos!I17+Datos!AC17)),IF(D_I="SI",Datos!I17,Datos!I17+Datos!AC17)," - ")</f>
        <v>615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694</v>
      </c>
      <c r="AC17" s="240">
        <f>IF(ISNUMBER(Datos!Q17),Datos!Q17," - ")</f>
        <v>21</v>
      </c>
      <c r="AD17" s="374"/>
      <c r="AE17" s="562"/>
      <c r="AF17" s="741">
        <f>IF(ISNUMBER(IF(D_I="SI",Datos!L17,Datos!L17+Datos!AF17)),IF(D_I="SI",Datos!L17,Datos!L17+Datos!AF17)," - ")</f>
        <v>525</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573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1.1490066225165563</v>
      </c>
      <c r="BH17" s="764">
        <f>IF(ISNUMBER(((IF(D_I="SI",Datos!L17/Datos!K17,(Datos!L17+Datos!AF17)/(Datos!K17+Datos!AE17)))*11)/factor_trimestre),((IF(D_I="SI",Datos!L17/Datos!K17,(Datos!L17+Datos!AF17)/(Datos!K17+Datos!AE17)))*11)/factor_trimestre," - ")</f>
        <v>2.2694524495677233</v>
      </c>
      <c r="BI17" s="266">
        <f>IF(ISNUMBER('Resol  Asuntos'!D17/NºAsuntos!G17),'Resol  Asuntos'!D17/NºAsuntos!G17," - ")</f>
        <v>8.069164265129683E-2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2</v>
      </c>
      <c r="AD18" s="549"/>
      <c r="AE18" s="562"/>
      <c r="AF18" s="551">
        <f>IF(ISNUMBER(Datos!L18),Datos!L18,"-")</f>
        <v>51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1.1489361702127661</v>
      </c>
      <c r="BH18" s="764">
        <f>IF(ISNUMBER(((IF(D_I="SI",Datos!L18/Datos!K18,(Datos!L18+Datos!AF18)/(Datos!K18+Datos!AE18)))*11)/factor_trimestre),((IF(D_I="SI",Datos!L18/Datos!K18,(Datos!L18+Datos!AF18)/(Datos!K18+Datos!AE18)))*11)/factor_trimestre," - ")</f>
        <v>2.8333333333333335</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615</v>
      </c>
      <c r="G23" s="1197">
        <f>SUBTOTAL(9,G16:G22)</f>
        <v>673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748</v>
      </c>
      <c r="AC23" s="1198">
        <f t="shared" si="5"/>
        <v>23</v>
      </c>
      <c r="AD23" s="1198">
        <f t="shared" si="5"/>
        <v>0</v>
      </c>
      <c r="AE23" s="1198">
        <f t="shared" si="5"/>
        <v>0</v>
      </c>
      <c r="AF23" s="1198">
        <f t="shared" si="5"/>
        <v>576</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597</v>
      </c>
      <c r="BE23" s="1198">
        <f t="shared" si="5"/>
        <v>0</v>
      </c>
      <c r="BF23" s="1198">
        <f t="shared" si="5"/>
        <v>0</v>
      </c>
      <c r="BG23" s="1198">
        <f>IF(ISNUMBER(Datos!K23/Datos!J23),Datos!K23/Datos!J23," - ")</f>
        <v>1.1490015360983103</v>
      </c>
      <c r="BH23" s="1202">
        <f>IF(ISNUMBER(((Datos!L23/Datos!K23)*11)/factor_trimestre),((Datos!L23/Datos!K23)*11)/factor_trimestre," - ")</f>
        <v>2.3101604278074865</v>
      </c>
      <c r="BI23" s="1198">
        <f>SUBTOTAL(9,BI16:BI22)</f>
        <v>0.30291386487351901</v>
      </c>
      <c r="BJ23" s="1198">
        <f>SUBTOTAL(9,BJ16:BJ22)</f>
        <v>0</v>
      </c>
      <c r="BK23" s="1198">
        <f>SUBTOTAL(9,BK16:BK22)</f>
        <v>0</v>
      </c>
      <c r="BL23" s="1198">
        <f>IF(ISNUMBER((I23-AB23+L23)/(F23)),(I23-AB23+L23)/(F23)," - ")</f>
        <v>-1.2162601626016261</v>
      </c>
      <c r="BM23" s="1205">
        <f>IF(ISNUMBER((Datos!P23-Datos!Q23)/(Datos!R23-Datos!P23+Datos!Q23)),(Datos!P23-Datos!Q23)/(Datos!R23-Datos!P23+Datos!Q23)," - ")</f>
        <v>-0.39130434782608697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623</v>
      </c>
      <c r="G31" s="1117">
        <f t="shared" si="18"/>
        <v>681</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752</v>
      </c>
      <c r="AC31" s="1118">
        <f t="shared" si="19"/>
        <v>110</v>
      </c>
      <c r="AD31" s="1118">
        <f t="shared" si="19"/>
        <v>0</v>
      </c>
      <c r="AE31" s="1118">
        <f t="shared" si="19"/>
        <v>0</v>
      </c>
      <c r="AF31" s="1125">
        <f t="shared" si="19"/>
        <v>590</v>
      </c>
      <c r="AG31" s="1125">
        <f t="shared" si="19"/>
        <v>0</v>
      </c>
      <c r="AH31" s="1125">
        <f t="shared" si="19"/>
        <v>42</v>
      </c>
      <c r="AI31" s="1125">
        <f t="shared" si="19"/>
        <v>0</v>
      </c>
      <c r="AJ31" s="1118">
        <f t="shared" si="19"/>
        <v>0</v>
      </c>
      <c r="AK31" s="1125">
        <f t="shared" si="19"/>
        <v>0</v>
      </c>
      <c r="AL31" s="1125">
        <f t="shared" si="19"/>
        <v>0</v>
      </c>
      <c r="AM31" s="1125">
        <f t="shared" si="19"/>
        <v>994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v>
      </c>
      <c r="BD31" s="1117">
        <f t="shared" si="19"/>
        <v>681</v>
      </c>
      <c r="BE31" s="1117">
        <f t="shared" si="19"/>
        <v>0</v>
      </c>
      <c r="BF31" s="1127">
        <f t="shared" si="19"/>
        <v>0</v>
      </c>
      <c r="BG31" s="1223">
        <f>IF(ISNUMBER(Datos!K31/Datos!J31),Datos!K31/Datos!J31," - ")</f>
        <v>1.0339912280701755</v>
      </c>
      <c r="BH31" s="1223">
        <f>IF(ISNUMBER(((Datos!L31/Datos!K31)*11)/factor_trimestre),((Datos!L31/Datos!K31)*11)/factor_trimestre," - ")</f>
        <v>3.4994697773064689</v>
      </c>
      <c r="BI31" s="1103">
        <f>IF(ISNUMBER(Datos!J31/Datos!I31),Datos!J31/Datos!I31," - ")</f>
        <v>0.80636604774535814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-1.2070626003210272</v>
      </c>
      <c r="BM31" s="1188">
        <f>IF(ISNUMBER((Datos!P31-Datos!Q31+R31)/(Datos!R31-Datos!P31+Datos!Q31-R31)),(Datos!P31-Datos!Q31+R31)/(Datos!R31-Datos!P31+Datos!Q31-R31)," - ")</f>
        <v>-3.961352657004831E-2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315.53932665622943</v>
      </c>
      <c r="G33" s="674">
        <f>IF(ISNUMBER(STDEV(G8:G30)),STDEV(G8:G30),"-")</f>
        <v>308.1232746498589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346.6369034842408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30.146072949651575</v>
      </c>
      <c r="BD33" s="673"/>
      <c r="BE33" s="673">
        <f>IF(ISNUMBER(STDEV(BE8:BE30)),STDEV(BE8:BE30),"-")</f>
        <v>0</v>
      </c>
      <c r="BF33" s="678">
        <f>IF(ISNUMBER(STDEV(BF8:BF30)),STDEV(BF8:BF30),"-")</f>
        <v>0</v>
      </c>
      <c r="BG33" s="1052">
        <f>IF(ISNUMBER(STDEV(BG8:BG30)),STDEV(BG8:BG30),"-")</f>
        <v>0.3070634228433346</v>
      </c>
      <c r="BH33" s="1058">
        <f>IF(ISNUMBER(STDEV(BH8:BH30)),STDEV(BH8:BH30),"-")</f>
        <v>3.5175670729246056</v>
      </c>
      <c r="BI33" s="273">
        <f>IF(ISNUMBER(STDEV(BI8:BI30)),STDEV(BI8:BI30),"-")</f>
        <v>9.4807146940345297E-2</v>
      </c>
      <c r="BJ33" s="244" t="str">
        <f>IF(ISNUMBER(BL33/BM33),BL33/BM33," - ")</f>
        <v xml:space="preserve"> - </v>
      </c>
      <c r="BK33" s="709"/>
      <c r="BL33" s="681">
        <f>IF(ISNUMBER(STDEV(BL8:BL30)),STDEV(BL8:BL30),"-")</f>
        <v>0.50647241806938881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TkfGM2IVeVHtPFRg2OA99P+MaAWyMy40cmLFzUjG4cV1djl4JUH3V0IqRjtYU4aDkpadQA5CpBBRm0wKWPRow==" saltValue="J1FxFUpZbJUcvELxbHup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BAZA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961</v>
      </c>
      <c r="AF12" s="693" t="str">
        <f>IF(ISNUMBER(Datos!BV12),Datos!BV12," - ")</f>
        <v xml:space="preserve"> - </v>
      </c>
      <c r="AG12" s="552" t="str">
        <f>IF(ISNUMBER(Datos!DV12),Datos!DV12," - ")</f>
        <v xml:space="preserve"> - </v>
      </c>
      <c r="AH12" s="553"/>
      <c r="AI12" s="554"/>
      <c r="AJ12" s="552">
        <f>IF(ISNUMBER(Datos!M12),Datos!M12," - ")</f>
        <v>55</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7.1072961373390555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-2.4365482233502538E-2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87</v>
      </c>
      <c r="AA14" s="1199">
        <f t="shared" si="3"/>
        <v>14</v>
      </c>
      <c r="AB14" s="1199">
        <f t="shared" si="3"/>
        <v>0</v>
      </c>
      <c r="AC14" s="1199">
        <f t="shared" si="3"/>
        <v>0</v>
      </c>
      <c r="AD14" s="1199">
        <f t="shared" si="3"/>
        <v>0</v>
      </c>
      <c r="AE14" s="1199">
        <f t="shared" si="3"/>
        <v>966</v>
      </c>
      <c r="AF14" s="1211">
        <f t="shared" si="3"/>
        <v>0</v>
      </c>
      <c r="AG14" s="1211">
        <f t="shared" si="3"/>
        <v>0</v>
      </c>
      <c r="AH14" s="1211">
        <f t="shared" si="3"/>
        <v>0</v>
      </c>
      <c r="AI14" s="1211">
        <f t="shared" si="3"/>
        <v>0</v>
      </c>
      <c r="AJ14" s="1211">
        <f t="shared" si="3"/>
        <v>59</v>
      </c>
      <c r="AK14" s="1211">
        <f t="shared" si="3"/>
        <v>84</v>
      </c>
      <c r="AL14" s="1211">
        <f t="shared" si="3"/>
        <v>0</v>
      </c>
      <c r="AM14" s="1211">
        <f t="shared" si="3"/>
        <v>0</v>
      </c>
      <c r="AN14" s="1211">
        <f t="shared" si="3"/>
        <v>0</v>
      </c>
      <c r="AO14" s="1203">
        <f>IF(ISNUMBER(((NºAsuntos!I14/NºAsuntos!G14)*11)/factor_trimestre),((NºAsuntos!I14/NºAsuntos!G14)*11)/factor_trimestre," - ")</f>
        <v>7.1645569620253164</v>
      </c>
      <c r="AP14" s="1213" t="str">
        <f>IF(ISNUMBER(Datos!CI14/Datos!CJ14),Datos!CI14/Datos!CJ14," - ")</f>
        <v xml:space="preserve"> - </v>
      </c>
      <c r="AQ14" s="1236">
        <f t="shared" ref="AQ14:AV14" si="4">SUBTOTAL(9,AQ9:AQ13)</f>
        <v>0</v>
      </c>
      <c r="AR14" s="1236">
        <f t="shared" si="4"/>
        <v>0.22563451776649746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615</v>
      </c>
      <c r="G17" s="552">
        <f>IF(ISNUMBER(IF(D_I="SI",Datos!I17,Datos!I17+Datos!AC17)),IF(D_I="SI",Datos!I17,Datos!I17+Datos!AC17)," - ")</f>
        <v>615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694</v>
      </c>
      <c r="Z17" s="805">
        <f>IF(ISNUMBER(Datos!Q17),Datos!Q17," - ")</f>
        <v>21</v>
      </c>
      <c r="AA17" s="551">
        <f>IF(ISNUMBER(IF(D_I="SI",Datos!L17,Datos!L17+Datos!AF17)),IF(D_I="SI",Datos!L17,Datos!L17+Datos!AF17)," - ")</f>
        <v>525</v>
      </c>
      <c r="AB17" s="549"/>
      <c r="AC17" s="549"/>
      <c r="AD17" s="563"/>
      <c r="AE17" s="563">
        <f>IF(ISNUMBER(Datos!R17),Datos!R17," - ")</f>
        <v>25</v>
      </c>
      <c r="AF17" s="693" t="str">
        <f>IF(ISNUMBER(Datos!BV17),Datos!BV17," - ")</f>
        <v xml:space="preserve"> - </v>
      </c>
      <c r="AG17" s="552"/>
      <c r="AH17" s="553"/>
      <c r="AI17" s="554"/>
      <c r="AJ17" s="552">
        <f>IF(ISNUMBER(Datos!M17),Datos!M17," - ")</f>
        <v>56</v>
      </c>
      <c r="AK17" s="693">
        <f>IF(ISNUMBER(Datos!N17),Datos!N17," - ")</f>
        <v>573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2.2694524495677233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2</v>
      </c>
      <c r="AA18" s="551">
        <f>IF(ISNUMBER(Datos!L18),Datos!L18,"-")</f>
        <v>51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2.8333333333333335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615</v>
      </c>
      <c r="G23" s="1197">
        <f>SUBTOTAL(9,G16:G22)</f>
        <v>673</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748</v>
      </c>
      <c r="Z23" s="1240">
        <f t="shared" si="6"/>
        <v>23</v>
      </c>
      <c r="AA23" s="1240">
        <f t="shared" si="6"/>
        <v>576</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68</v>
      </c>
      <c r="AK23" s="1240">
        <f t="shared" si="6"/>
        <v>597</v>
      </c>
      <c r="AL23" s="1240">
        <f t="shared" si="6"/>
        <v>0</v>
      </c>
      <c r="AM23" s="1240">
        <f t="shared" si="6"/>
        <v>0</v>
      </c>
      <c r="AN23" s="1240">
        <f t="shared" si="6"/>
        <v>0</v>
      </c>
      <c r="AO23" s="1242">
        <f>IF(ISNUMBER(((NºAsuntos!I23/NºAsuntos!G23)*11)/factor_trimestre),((NºAsuntos!I23/NºAsuntos!G23)*11)/factor_trimestre," - ")</f>
        <v>2.3101604278074865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623</v>
      </c>
      <c r="G31" s="1117">
        <f t="shared" si="12"/>
        <v>681</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752</v>
      </c>
      <c r="Z31" s="1124">
        <f t="shared" si="13"/>
        <v>110</v>
      </c>
      <c r="AA31" s="1125">
        <f t="shared" si="13"/>
        <v>590</v>
      </c>
      <c r="AB31" s="1125">
        <f t="shared" si="13"/>
        <v>0</v>
      </c>
      <c r="AC31" s="1125">
        <f t="shared" si="13"/>
        <v>0</v>
      </c>
      <c r="AD31" s="1126">
        <f t="shared" si="13"/>
        <v>0</v>
      </c>
      <c r="AE31" s="1126">
        <f t="shared" si="13"/>
        <v>994</v>
      </c>
      <c r="AF31" s="1127">
        <f t="shared" si="13"/>
        <v>0</v>
      </c>
      <c r="AG31" s="1128">
        <f t="shared" si="13"/>
        <v>0</v>
      </c>
      <c r="AH31" s="1129">
        <f t="shared" si="13"/>
        <v>0</v>
      </c>
      <c r="AI31" s="1127">
        <f t="shared" si="13"/>
        <v>0</v>
      </c>
      <c r="AJ31" s="1117">
        <f t="shared" si="13"/>
        <v>127</v>
      </c>
      <c r="AK31" s="1117">
        <f t="shared" si="13"/>
        <v>681</v>
      </c>
      <c r="AL31" s="1117">
        <f t="shared" si="13"/>
        <v>0</v>
      </c>
      <c r="AM31" s="1130">
        <f t="shared" si="13"/>
        <v>0</v>
      </c>
      <c r="AN31" s="1120">
        <f>IF(ISNUMBER(Datos!K31/Datos!J31),Datos!K31/Datos!J31," - ")</f>
        <v>1.0339912280701755</v>
      </c>
      <c r="AO31" s="1120">
        <f>IF(ISNUMBER(FIND("06",Criterios!A8,1)),(IF(ISNUMBER(((Datos!R31/Datos!Q31)*11)/factor_trimestre),((Datos!R31/Datos!Q31)*11)/factor_trimestre," - ")),(IF(ISNUMBER(((Datos!L31/Datos!K31)*11)/factor_trimestre),((Datos!L31/Datos!K31)*11)/factor_trimestre," - ")))</f>
        <v>3.4994697773064689</v>
      </c>
      <c r="AP31" s="1131" t="str">
        <f>IF(ISNUMBER(Datos!CI31/Datos!CJ31),Datos!CI31/Datos!CJ31," - ")</f>
        <v xml:space="preserve"> - </v>
      </c>
      <c r="AQ31" s="1131">
        <f>IF(OR(ISNUMBER(FIND("01",Criterios!A8,1)),ISNUMBER(FIND("02",Criterios!A8,1)),ISNUMBER(FIND("03",Criterios!A8,1)),ISNUMBER(FIND("04",Criterios!A8,1))),(J31-Y31+K31)/(F31-K31),(I31-Y31+K31)/(F31-K31))</f>
        <v>-1.2070626003210272</v>
      </c>
      <c r="AR31" s="1131">
        <f>IF(ISNUMBER((Datos!P31-Datos!Q31+O31)/(Datos!R31-Datos!P31+Datos!Q31-O31)),(Datos!P31-Datos!Q31+O31)/(Datos!R31-Datos!P31+Datos!Q31-O31)," - ")</f>
        <v>-3.961352657004831E-2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315.53932665622943</v>
      </c>
      <c r="G33" s="674">
        <f>IF(ISNUMBER(STDEV(G8:G30)),STDEV(G8:G30),"-")</f>
        <v>308.1232746498589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30.146072949651575</v>
      </c>
      <c r="AK33" s="276"/>
      <c r="AL33" s="276">
        <f>IF(ISNUMBER(STDEV(AL8:AL30)),STDEV(AL8:AL30),"-")</f>
        <v>0</v>
      </c>
      <c r="AM33" s="278">
        <f>IF(ISNUMBER(STDEV(AM8:AM30)),STDEV(AM8:AM30),"-")</f>
        <v>0</v>
      </c>
      <c r="AN33" s="660">
        <f>IF(ISNUMBER(STDEV(AN8:AN30)),STDEV(AN8:AN30),"-")</f>
        <v>0</v>
      </c>
      <c r="AO33" s="661">
        <f>IF(ISNUMBER(STDEV(AO8:AO30)),STDEV(AO8:AO30),"-")</f>
        <v>3.4048793559193693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068fy41MOja7KBfacIsQZdyItPPSjECZM//FaOGwKAuB4lopLYdxJ/nATsy0PQlqPCjAit5S3nshwnNmY9+hA==" saltValue="LJwza+vDtj5/daxif6bE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o1Xm6ylRAwU5eVK7llq/ITnHQj6u6muEiZts5gTWd1tOPBY87jlyy3MDIWeNN/NaOiq7ndZZ7HlPJuRfRUeg==" saltValue="m1qujdZgYul7DfnzdX7D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5ro+E0NIyj1MNruJ0EZt4+ww1IgrqDDxOoqj8f0N5HjeTqx4sbaZfOhgcqIfg32a91l9+u2D3tG3fK7tpQrw==" saltValue="AXtxIBprVgVKho8wqS87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BAZA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0.24894514767932491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0.17603080206753716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kIK6PowXrdHuK+SeBDLLv0wQa0Iso0dDguF+K41/19Wr1XIx1F+dg7wZegVM7olFotagp9ULoXEy/XqBIrdDA==" saltValue="9GGG01XXDBR9g0xavUKn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Rb5iKvrLI3dVshWait6u3bAN+sB/Wyp6AJEOjMnJV3pQk3/55+y4VjnFv6do6R3SqWhPEASakZ8MCHfDgovtw==" saltValue="OOX+oYHy004vz5Mcyfn3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BAZA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10</v>
      </c>
      <c r="F10" s="452">
        <f>IF(ISNUMBER(E10/B10),E10/B10," - ")</f>
        <v>10</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295</v>
      </c>
      <c r="F12" s="452">
        <f>IF(ISNUMBER(E12/B12),E12/B12," - ")</f>
        <v>147.5</v>
      </c>
      <c r="G12" s="451">
        <f>IF(ISNUMBER(IF(J_V="SI",Datos!K12,Datos!K12+Datos!AA12)),IF(J_V="SI",Datos!K12,Datos!K12+Datos!AA12)," - ")</f>
        <v>233</v>
      </c>
      <c r="H12" s="452">
        <f>IF(ISNUMBER(G12/B12),G12/B12," - ")</f>
        <v>116.5</v>
      </c>
      <c r="I12" s="451">
        <f>IF(ISNUMBER(IF(J_V="SI",Datos!L12,Datos!L12+Datos!AB12)),IF(J_V="SI",Datos!L12,Datos!L12+Datos!AB12)," - ")</f>
        <v>552</v>
      </c>
      <c r="J12" s="452">
        <f>IF(ISNUMBER(I12/B12),I12/B12," - ")</f>
        <v>276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498</v>
      </c>
      <c r="D14" s="1147" t="str">
        <f>IF(ISNUMBER(C14/Datos!BI14),C14/Datos!BI14," - ")</f>
        <v xml:space="preserve"> - </v>
      </c>
      <c r="E14" s="1146">
        <f>SUBTOTAL(9,E8:E13)</f>
        <v>305</v>
      </c>
      <c r="F14" s="1147">
        <f>IF(ISNUMBER(E14/B14),E14/B14," - ")</f>
        <v>152.5</v>
      </c>
      <c r="G14" s="1146">
        <f>SUBTOTAL(9,G8:G13)</f>
        <v>237</v>
      </c>
      <c r="H14" s="1147">
        <f>IF(ISNUMBER(G14/B14),G14/B14," - ")</f>
        <v>118.5</v>
      </c>
      <c r="I14" s="1146">
        <f>SUBTOTAL(9,I8:I13)</f>
        <v>566</v>
      </c>
      <c r="J14" s="1147">
        <f>IF(ISNUMBER(I14/B14),I14/B14," - ")</f>
        <v>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615</v>
      </c>
      <c r="D17" s="452">
        <f>IF(ISNUMBER(C17/Datos!BH17),C17/Datos!BH17," - ")</f>
        <v>307.5</v>
      </c>
      <c r="E17" s="451">
        <f>IF(ISNUMBER(IF(D_I="SI",Datos!J17,Datos!J17+Datos!AD17)),IF(D_I="SI",Datos!J17,Datos!J17+Datos!AD17)," - ")</f>
        <v>604</v>
      </c>
      <c r="F17" s="452">
        <f>IF(ISNUMBER(E17/B17),E17/B17," - ")</f>
        <v>302</v>
      </c>
      <c r="G17" s="451">
        <f>IF(ISNUMBER(IF(D_I="SI",Datos!K17,Datos!K17+Datos!AE17)),IF(D_I="SI",Datos!K17,Datos!K17+Datos!AE17)," - ")</f>
        <v>694</v>
      </c>
      <c r="H17" s="452">
        <f>IF(ISNUMBER(G17/B17),G17/B17," - ")</f>
        <v>347</v>
      </c>
      <c r="I17" s="451">
        <f>IF(ISNUMBER(IF(D_I="SI",Datos!L17,Datos!L17+Datos!AF17)),IF(D_I="SI",Datos!L17,Datos!L17+Datos!AF17)," - ")</f>
        <v>525</v>
      </c>
      <c r="J17" s="452">
        <f>IF(ISNUMBER(I17/B17),I17/B17," - ")</f>
        <v>262.5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47</v>
      </c>
      <c r="F18" s="452">
        <f>IF(ISNUMBER(E18/B18),E18/B18," - ")</f>
        <v>47</v>
      </c>
      <c r="G18" s="451">
        <f>IF(ISNUMBER(IF(D_I="SI",Datos!K18,Datos!K18+Datos!AE18)),IF(D_I="SI",Datos!K18,Datos!K18+Datos!AE18)," - ")</f>
        <v>54</v>
      </c>
      <c r="H18" s="452">
        <f>IF(ISNUMBER(G18/B18),G18/B18," - ")</f>
        <v>54</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673</v>
      </c>
      <c r="D23" s="1147" t="str">
        <f>IF(ISNUMBER(C23/Datos!BI23),C23/Datos!BI23," - ")</f>
        <v xml:space="preserve"> - </v>
      </c>
      <c r="E23" s="1146">
        <f>SUBTOTAL(9,E15:E22)</f>
        <v>651</v>
      </c>
      <c r="F23" s="1147">
        <f>IF(ISNUMBER(E23/B23),E23/B23," - ")</f>
        <v>325.5</v>
      </c>
      <c r="G23" s="1146">
        <f>SUBTOTAL(9,G15:G22)</f>
        <v>748</v>
      </c>
      <c r="H23" s="1147">
        <f>IF(ISNUMBER(G23/B23),G23/B23," - ")</f>
        <v>374</v>
      </c>
      <c r="I23" s="1146">
        <f>SUBTOTAL(9,I15:I22)</f>
        <v>576</v>
      </c>
      <c r="J23" s="1147">
        <f>IF(ISNUMBER(I23/B23),I23/B23," - ")</f>
        <v>288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1171</v>
      </c>
      <c r="D31" s="1085" t="str">
        <f>IF(ISNUMBER(C31/Datos!BI31),C31/Datos!BI31," - ")</f>
        <v xml:space="preserve"> - </v>
      </c>
      <c r="E31" s="1084">
        <f>SUBTOTAL(9,E9:E30)</f>
        <v>956</v>
      </c>
      <c r="F31" s="1085">
        <f>IF(ISNUMBER(E31/B31),E31/B31," - ")</f>
        <v>478</v>
      </c>
      <c r="G31" s="1084">
        <f>SUBTOTAL(9,G9:G30)</f>
        <v>985</v>
      </c>
      <c r="H31" s="1085">
        <f>IF(ISNUMBER(G31/B31),G31/B31," - ")</f>
        <v>492.5</v>
      </c>
      <c r="I31" s="1084">
        <f>SUBTOTAL(9,I9:I30)</f>
        <v>1142</v>
      </c>
      <c r="J31" s="1085">
        <f>IF(ISNUMBER(I31/B31),I31/B31," - ")</f>
        <v>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xPI1eho1OKx/nwPLP45EoBenwGQqH5PBxBxQPMDgVzx+0EdiGMnZ08rcZ9n6eSyGTLqxGnycua3atCuxYf8A==" saltValue="qYhNB+5Gcjp5Hg313GcQ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BAZA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7.1072961373390555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-2.4365482233502538E-2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87</v>
      </c>
      <c r="AE14" s="1257">
        <f t="shared" si="1"/>
        <v>0</v>
      </c>
      <c r="AF14" s="1257">
        <f t="shared" si="1"/>
        <v>14</v>
      </c>
      <c r="AG14" s="1257">
        <f t="shared" si="1"/>
        <v>0</v>
      </c>
      <c r="AH14" s="1257">
        <f t="shared" si="1"/>
        <v>961</v>
      </c>
      <c r="AI14" s="1257">
        <f t="shared" si="1"/>
        <v>0</v>
      </c>
      <c r="AJ14" s="1257">
        <f t="shared" si="1"/>
        <v>0</v>
      </c>
      <c r="AK14" s="1257">
        <f t="shared" si="1"/>
        <v>0</v>
      </c>
      <c r="AL14" s="1257">
        <f t="shared" si="1"/>
        <v>59</v>
      </c>
      <c r="AM14" s="1257">
        <f t="shared" si="1"/>
        <v>84</v>
      </c>
      <c r="AN14" s="1257">
        <f t="shared" si="1"/>
        <v>0</v>
      </c>
      <c r="AO14" s="1257">
        <f t="shared" si="1"/>
        <v>0</v>
      </c>
      <c r="AP14" s="1262">
        <f>IF(ISNUMBER(((Datos!L14/Datos!K14)*11)/factor_trimestre),((Datos!L14/Datos!K14)*11)/factor_trimestre," - ")</f>
        <v>8.0615384615384613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-2.4365482233502538E-2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2.3101604278074865</v>
      </c>
      <c r="AQ23" s="1262">
        <f>IF(ISNUMBER(((Datos!M23/Datos!L23)*11)/factor_trimestre),((Datos!M23/Datos!L23)*11)/factor_trimestre," - ")</f>
        <v>0.35416666666666669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-0.39130434782608697</v>
      </c>
      <c r="AW23" s="1265">
        <f>IF(ISNUMBER((Datos!Q23-Datos!R23)/(Datos!S23-Datos!Q23+Datos!R23)),(Datos!Q23-Datos!R23)/(Datos!S23-Datos!Q23+Datos!R23)," - ")</f>
        <v>-9.3632958801498131E-3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87</v>
      </c>
      <c r="AE31" s="1284">
        <f t="shared" si="9"/>
        <v>0</v>
      </c>
      <c r="AF31" s="1285">
        <f t="shared" si="9"/>
        <v>14</v>
      </c>
      <c r="AG31" s="1285">
        <f t="shared" si="9"/>
        <v>0</v>
      </c>
      <c r="AH31" s="1285">
        <f t="shared" si="9"/>
        <v>961</v>
      </c>
      <c r="AI31" s="1285">
        <f t="shared" si="9"/>
        <v>0</v>
      </c>
      <c r="AJ31" s="1286">
        <f t="shared" si="9"/>
        <v>0</v>
      </c>
      <c r="AK31" s="1286">
        <f t="shared" si="9"/>
        <v>0</v>
      </c>
      <c r="AL31" s="1278">
        <f t="shared" si="9"/>
        <v>59</v>
      </c>
      <c r="AM31" s="1278">
        <f t="shared" si="9"/>
        <v>84</v>
      </c>
      <c r="AN31" s="1278">
        <f t="shared" si="9"/>
        <v>0</v>
      </c>
      <c r="AO31" s="1278">
        <f t="shared" si="9"/>
        <v>0</v>
      </c>
      <c r="AP31" s="1278">
        <f>IF(ISNUMBER(((Datos!L31/Datos!K31)*11)/factor_trimestre),((Datos!L31/Datos!K31)*11)/factor_trimestre," - ")</f>
        <v>3.4994697773064689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-3.961352657004831E-2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28.987353564385053</v>
      </c>
      <c r="AM33" s="1006"/>
      <c r="AN33" s="1006">
        <f>IF(ISNUMBER(STDEV(AN8:AN30)),STDEV(AN8:AN30),"-")</f>
        <v>0</v>
      </c>
      <c r="AO33" s="1012">
        <f>IF(ISNUMBER(STDEV(AO8:AO30)),STDEV(AO8:AO30),"-")</f>
        <v>0</v>
      </c>
      <c r="AP33" s="1065">
        <f>IF(ISNUMBER(STDEV(AP8:AP30)),STDEV(AP8:AP30),"-")</f>
        <v>3.434281160936508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KKtS3Zo4WqmT6WU2mnZFMTMGM9W3uSHN+An4214Cz6H/sgkfM8cFoDEDr4v8KlUx0sYSEvz2gRVjXgsc/6QMw==" saltValue="9aYl2kCDdsSmutuP18z/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BAZA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bo+vrw7fRAx4xZ2ar6xaA+fykMbDRTX8ueDNMyduXPD01RljAODcnn6zItZy5lo8FvyhHaVduFn6mgIy/A3YQ==" saltValue="G5MlA9ohHCzHGYkJ3Skk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BAZA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55</v>
      </c>
      <c r="E12" s="452">
        <f t="shared" si="0"/>
        <v>27.5</v>
      </c>
      <c r="F12" s="451">
        <f>IF(ISNUMBER(Datos!N12),Datos!N12," - ")</f>
        <v>84</v>
      </c>
      <c r="G12" s="452">
        <f t="shared" si="1"/>
        <v>42</v>
      </c>
      <c r="H12" s="451">
        <f>IF(ISNUMBER(Datos!O12),Datos!O12," - ")</f>
        <v>94</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84</v>
      </c>
      <c r="G14" s="1147">
        <f t="shared" si="1"/>
        <v>28</v>
      </c>
      <c r="H14" s="1146">
        <f>SUBTOTAL(9,H9:H13)</f>
        <v>94</v>
      </c>
      <c r="I14" s="1147">
        <f>IF(ISNUMBER(H14/B14),H14/B14," - ")</f>
        <v>31.333333333333332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573</v>
      </c>
      <c r="G17" s="452">
        <f t="shared" si="4"/>
        <v>286.5</v>
      </c>
      <c r="H17" s="451">
        <f>IF(ISNUMBER(Datos!O17),Datos!O17," - ")</f>
        <v>10</v>
      </c>
      <c r="I17" s="452">
        <f t="shared" si="5"/>
        <v>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24</v>
      </c>
      <c r="G18" s="452">
        <f>IF(ISNUMBER(F18/B18),F18/B18," - ")</f>
        <v>24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68</v>
      </c>
      <c r="E23" s="1147">
        <f t="shared" si="3"/>
        <v>22.666666666666668</v>
      </c>
      <c r="F23" s="1146">
        <f>SUBTOTAL(9,F16:F22)</f>
        <v>597</v>
      </c>
      <c r="G23" s="1147">
        <f t="shared" si="4"/>
        <v>199</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127</v>
      </c>
      <c r="E31" s="1085">
        <f>IF(ISNUMBER(D31/B31),D31/B31," - ")</f>
        <v>63.5</v>
      </c>
      <c r="F31" s="1084">
        <f>SUBTOTAL(9,F8:F30)</f>
        <v>681</v>
      </c>
      <c r="G31" s="1085">
        <f>IF(ISNUMBER(F31/B31),F31/B31," - ")</f>
        <v>340.5</v>
      </c>
      <c r="H31" s="1084">
        <f>SUBTOTAL(9,H8:H30)</f>
        <v>106</v>
      </c>
      <c r="I31" s="1085">
        <f>IF(ISNUMBER(H31/B31),H31/B31," - ")</f>
        <v>53</v>
      </c>
    </row>
    <row r="34" spans="1:1">
      <c r="A34" s="439" t="str">
        <f>Criterios!A4</f>
        <v>Fecha Informe: 05 may. 2023</v>
      </c>
    </row>
    <row r="39" spans="1:1">
      <c r="A39" s="462"/>
    </row>
  </sheetData>
  <sheetProtection algorithmName="SHA-512" hashValue="K+q2QQ62QgzfbCloV3K7VDQaobLs1q2mcMDBcJB8DqzXF8Pz1TUt5as8celiHS5WUDoHLVRK1R/CxLukXBTYNQ==" saltValue="WJSwOtpqx3T5u64IzME1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BAZA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87</v>
      </c>
      <c r="D12" s="456">
        <f>IF(ISNUMBER(Datos!R12),Datos!R12," - ")</f>
        <v>961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87</v>
      </c>
      <c r="D14" s="1148">
        <f>SUBTOTAL(9,D9:D13)</f>
        <v>966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21</v>
      </c>
      <c r="D17" s="456">
        <f>IF(ISNUMBER(Datos!R17),Datos!R17," - ")</f>
        <v>25</v>
      </c>
    </row>
    <row r="18" spans="1:4">
      <c r="A18" s="450" t="str">
        <f>Datos!A18</f>
        <v>Jdos. Violencia contra la mujer</v>
      </c>
      <c r="B18" s="488">
        <f>IF(ISNUMBER(Datos!P18),Datos!P18," - ")</f>
        <v>5</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23</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110</v>
      </c>
      <c r="D31" s="1090">
        <f>SUBTOTAL(9,D8:D30)</f>
        <v>994</v>
      </c>
    </row>
    <row r="32" spans="1:4" ht="7.5" customHeight="1"/>
    <row r="33" spans="1:1" ht="6" customHeight="1"/>
    <row r="34" spans="1:1">
      <c r="A34" s="439" t="str">
        <f>Criterios!A4</f>
        <v>Fecha Informe: 05 may. 2023</v>
      </c>
    </row>
    <row r="39" spans="1:1">
      <c r="A39" s="462"/>
    </row>
  </sheetData>
  <sheetProtection algorithmName="SHA-512" hashValue="43fsxMi6P+ip8P4jU90eSIXXipYn1lASfbk+q89youem2fXwLw24uo8JUud3Zb08MU5rd5DqiJGSHcWaiHePWA==" saltValue="qURbiOg18+0qqKa1GVU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BAZA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1.5</v>
      </c>
      <c r="D10" s="515">
        <f>IF(ISNUMBER((Datos!K10-Datos!U10)/Datos!U10),(Datos!K10-Datos!U10)/Datos!U10," - ")</f>
        <v>-0.2</v>
      </c>
      <c r="E10" s="515">
        <f>IF(ISNUMBER((Datos!L10-Datos!V10)/Datos!V10),(Datos!L10-Datos!V10)/Datos!V10," - ")</f>
        <v>-0.125</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-0.67999999999999994</v>
      </c>
      <c r="I10" s="515">
        <f>IF(ISNUMBER(((NºAsuntos!I10/NºAsuntos!G10)-Datos!BE10)/Datos!BE10),((NºAsuntos!I10/NºAsuntos!G10)-Datos!BE10)/Datos!BE10," - ")</f>
        <v>9.3749999999999944E-2</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2.2727272727272645E-2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-0.16949152542372881</v>
      </c>
      <c r="C12" s="515">
        <f>IF(ISNUMBER(
   IF(J_V="SI",(Datos!J12-Datos!T12)/Datos!T12,(Datos!J12+Datos!Z12-(Datos!T12+Datos!AH12))/(Datos!T12+Datos!AH12))
     ),IF(J_V="SI",(Datos!J12-Datos!T12)/Datos!T12,(Datos!J12+Datos!Z12-(Datos!T12+Datos!AH12))/(Datos!T12+Datos!AH12))," - ")</f>
        <v>-0.19178082191780821</v>
      </c>
      <c r="D12" s="515">
        <f>IF(ISNUMBER(
   IF(J_V="SI",(Datos!K12-Datos!U12)/Datos!U12,(Datos!K12+Datos!AA12-(Datos!U12+Datos!AI12))/(Datos!U12+Datos!AI12))
     ),IF(J_V="SI",(Datos!K12-Datos!U12)/Datos!U12,(Datos!K12+Datos!AA12-(Datos!U12+Datos!AI12))/(Datos!U12+Datos!AI12))," - ")</f>
        <v>-0.36164383561643837</v>
      </c>
      <c r="E12" s="515">
        <f>IF(ISNUMBER(
   IF(J_V="SI",(Datos!L12-Datos!V12)/Datos!V12,(Datos!L12+Datos!AB12-(Datos!V12+Datos!AJ12))/(Datos!V12+Datos!AJ12))
     ),IF(J_V="SI",(Datos!L12-Datos!V12)/Datos!V12,(Datos!L12+Datos!AB12-(Datos!V12+Datos!AJ12))/(Datos!V12+Datos!AJ12))," - ")</f>
        <v>-6.4406779661016947E-2</v>
      </c>
      <c r="F12" s="515">
        <f>IF(ISNUMBER((Datos!M12-Datos!W12)/Datos!W12),(Datos!M12-Datos!W12)/Datos!W12," - ")</f>
        <v>-0.3125</v>
      </c>
      <c r="G12" s="516">
        <f>IF(ISNUMBER((Datos!N12-Datos!X12)/Datos!X12),(Datos!N12-Datos!X12)/Datos!X12," - ")</f>
        <v>-0.44370860927152317</v>
      </c>
      <c r="H12" s="514">
        <f>IF(ISNUMBER(((NºAsuntos!G12/NºAsuntos!E12)-Datos!BD12)/Datos!BD12),((NºAsuntos!G12/NºAsuntos!E12)-Datos!BD12)/Datos!BD12," - ")</f>
        <v>-0.21016949152542375</v>
      </c>
      <c r="I12" s="515">
        <f>IF(ISNUMBER(((NºAsuntos!I12/NºAsuntos!G12)-Datos!BE12)/Datos!BE12),((NºAsuntos!I12/NºAsuntos!G12)-Datos!BE12)/Datos!BE12," - ")</f>
        <v>0.46562886447952273</v>
      </c>
      <c r="J12" s="521">
        <f>IF(ISNUMBER((('Resol  Asuntos'!D12/NºAsuntos!G12)-Datos!BF12)/Datos!BF12),(('Resol  Asuntos'!D12/NºAsuntos!G12)-Datos!BF12)/Datos!BF12," - ")</f>
        <v>-0.42941193189892851</v>
      </c>
      <c r="K12" s="522">
        <f>IF(ISNUMBER((((NºAsuntos!C12+NºAsuntos!E12)/NºAsuntos!G12)-Datos!BG12)/Datos!BG12),(((NºAsuntos!C12+NºAsuntos!E12)/NºAsuntos!G12)-Datos!BG12)/Datos!BG12," - ")</f>
        <v>0.28766600004494086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-0.18092105263157895</v>
      </c>
      <c r="C14" s="1152">
        <f>IF(ISNUMBER(
   IF(J_V="SI",(Datos!J14-Datos!T14)/Datos!T14,(Datos!J14+Datos!Z14-(Datos!T14+Datos!AH14))/(Datos!T14+Datos!AH14))
     ),IF(J_V="SI",(Datos!J14-Datos!T14)/Datos!T14,(Datos!J14+Datos!Z14-(Datos!T14+Datos!AH14))/(Datos!T14+Datos!AH14))," - ")</f>
        <v>-0.17344173441734417</v>
      </c>
      <c r="D14" s="1152">
        <f>IF(ISNUMBER(
   IF(J_V="SI",(Datos!K14-Datos!U14)/Datos!U14,(Datos!K14+Datos!AA14-(Datos!U14+Datos!AI14))/(Datos!U14+Datos!AI14))
     ),IF(J_V="SI",(Datos!K14-Datos!U14)/Datos!U14,(Datos!K14+Datos!AA14-(Datos!U14+Datos!AI14))/(Datos!U14+Datos!AI14))," - ")</f>
        <v>-0.35945945945945945</v>
      </c>
      <c r="E14" s="1152">
        <f>IF(ISNUMBER(
   IF(J_V="SI",(Datos!L14-Datos!V14)/Datos!V14,(Datos!L14+Datos!AB14-(Datos!V14+Datos!AJ14))/(Datos!V14+Datos!AJ14))
     ),IF(J_V="SI",(Datos!L14-Datos!V14)/Datos!V14,(Datos!L14+Datos!AB14-(Datos!V14+Datos!AJ14))/(Datos!V14+Datos!AJ14))," - ")</f>
        <v>-6.6006600660066E-2</v>
      </c>
      <c r="F14" s="1153">
        <f>IF(ISNUMBER((Datos!M14-Datos!W14)/Datos!W14),(Datos!M14-Datos!W14)/Datos!W14," - ")</f>
        <v>-0.29761904761904762</v>
      </c>
      <c r="G14" s="1154">
        <f>IF(ISNUMBER((Datos!N14-Datos!X14)/Datos!X14),(Datos!N14-Datos!X14)/Datos!X14," - ")</f>
        <v>-0.44736842105263158</v>
      </c>
      <c r="H14" s="1154">
        <f>IF(ISNUMBER(((NºAsuntos!G14/NºAsuntos!E14)-Datos!BD14)/Datos!BD14),((NºAsuntos!G14/NºAsuntos!E14)-Datos!BD14)/Datos!BD14," - ")</f>
        <v>-0.22505095259193614</v>
      </c>
      <c r="I14" s="1154">
        <f>IF(ISNUMBER(((NºAsuntos!I14/NºAsuntos!G14)-Datos!BE14)/Datos!BE14),((NºAsuntos!I14/NºAsuntos!G14)-Datos!BE14)/Datos!BE14," - ")</f>
        <v>0.45813315508766084</v>
      </c>
      <c r="J14" s="1154">
        <f>IF(ISNUMBER((('Resol  Asuntos'!D14/NºAsuntos!G14)-Datos!BF14)/Datos!BF14),(('Resol  Asuntos'!D14/NºAsuntos!G14)-Datos!BF14)/Datos!BF14," - ")</f>
        <v>-0.40574384102354699</v>
      </c>
      <c r="K14" s="1154">
        <f>IF(ISNUMBER((((NºAsuntos!C14+NºAsuntos!E14)/NºAsuntos!G14)-Datos!BG14)/Datos!BG14),(((NºAsuntos!C14+NºAsuntos!E14)/NºAsuntos!G14)-Datos!BG14)/Datos!BG14," - ")</f>
        <v>0.28314093345253066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0.32258064516129031</v>
      </c>
      <c r="C17" s="515">
        <f>IF(ISNUMBER(
   IF(D_I="SI",(Datos!J17-Datos!T17)/Datos!T17,(Datos!J17+Datos!AD17-(Datos!T17+Datos!AL17))/(Datos!T17+Datos!AL17))
     ),IF(D_I="SI",(Datos!J17-Datos!T17)/Datos!T17,(Datos!J17+Datos!AD17-(Datos!T17+Datos!AL17))/(Datos!T17+Datos!AL17))," - ")</f>
        <v>-5.9190031152647975E-2</v>
      </c>
      <c r="D17" s="515">
        <f>IF(ISNUMBER(
   IF(D_I="SI",(Datos!K17-Datos!U17)/Datos!U17,(Datos!K17+Datos!AE17-(Datos!U17+Datos!AM17))/(Datos!U17+Datos!AM17))
     ),IF(D_I="SI",(Datos!K17-Datos!U17)/Datos!U17,(Datos!K17+Datos!AE17-(Datos!U17+Datos!AM17))/(Datos!U17+Datos!AM17))," - ")</f>
        <v>7.2642967542503864E-2</v>
      </c>
      <c r="E17" s="515">
        <f>IF(ISNUMBER(
   IF(D_I="SI",(Datos!L17-Datos!V17)/Datos!V17,(Datos!L17+Datos!AF17-(Datos!V17+Datos!AN17))/(Datos!V17+Datos!AN17))
     ),IF(D_I="SI",(Datos!L17-Datos!V17)/Datos!V17,(Datos!L17+Datos!AF17-(Datos!V17+Datos!AN17))/(Datos!V17+Datos!AN17))," - ")</f>
        <v>0.13636363636363635</v>
      </c>
      <c r="F17" s="515">
        <f>IF(ISNUMBER((Datos!M17-Datos!W17)/Datos!W17),(Datos!M17-Datos!W17)/Datos!W17," - ")</f>
        <v>0.30232558139534882</v>
      </c>
      <c r="G17" s="516">
        <f>IF(ISNUMBER((Datos!N17-Datos!X17)/Datos!X17),(Datos!N17-Datos!X17)/Datos!X17," - ")</f>
        <v>8.5227272727272721E-2</v>
      </c>
      <c r="H17" s="514">
        <f>IF(ISNUMBER(((NºAsuntos!G17/NºAsuntos!E17)-Datos!BD17)/Datos!BD17),((NºAsuntos!G17/NºAsuntos!E17)-Datos!BD17)/Datos!BD17," - ")</f>
        <v>0.14012712775213162</v>
      </c>
      <c r="I17" s="515">
        <f>IF(ISNUMBER(((NºAsuntos!I17/NºAsuntos!G17)-Datos!BE17)/Datos!BE17),((NºAsuntos!I17/NºAsuntos!G17)-Datos!BE17)/Datos!BE17," - ")</f>
        <v>5.9405292114225822E-2</v>
      </c>
      <c r="J17" s="521">
        <f>IF(ISNUMBER((('Resol  Asuntos'!D17/NºAsuntos!G17)-Datos!BF17)/Datos!BF17),(('Resol  Asuntos'!D17/NºAsuntos!G17)-Datos!BF17)/Datos!BF17," - ")</f>
        <v>0.21412773942765218</v>
      </c>
      <c r="K17" s="522">
        <f>IF(ISNUMBER((((NºAsuntos!C17+NºAsuntos!E17)/NºAsuntos!G17)-Datos!BG17)/Datos!BG17),(((NºAsuntos!C17+NºAsuntos!E17)/NºAsuntos!G17)-Datos!BG17)/Datos!BG17," - ")</f>
        <v>2.6599137268990387E-2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-9.375E-2</v>
      </c>
      <c r="C18" s="515">
        <f>IF(ISNUMBER(
   IF(D_I="SI",(Datos!J18-Datos!T18)/Datos!T18,(Datos!J18+Datos!AD18-(Datos!T18+Datos!AL18))/(Datos!T18+Datos!AL18))
     ),IF(D_I="SI",(Datos!J18-Datos!T18)/Datos!T18,(Datos!J18+Datos!AD18-(Datos!T18+Datos!AL18))/(Datos!T18+Datos!AL18))," - ")</f>
        <v>0.38235294117647056</v>
      </c>
      <c r="D18" s="515">
        <f>IF(ISNUMBER(
   IF(D_I="SI",(Datos!K18-Datos!U18)/Datos!U18,(Datos!K18+Datos!AE18-(Datos!U18+Datos!AM18))/(Datos!U18+Datos!AM18))
     ),IF(D_I="SI",(Datos!K18-Datos!U18)/Datos!U18,(Datos!K18+Datos!AE18-(Datos!U18+Datos!AM18))/(Datos!U18+Datos!AM18))," - ")</f>
        <v>0.35</v>
      </c>
      <c r="E18" s="515">
        <f>IF(ISNUMBER(
   IF(D_I="SI",(Datos!L18-Datos!V18)/Datos!V18,(Datos!L18+Datos!AF18-(Datos!V18+Datos!AN18))/(Datos!V18+Datos!AN18))
     ),IF(D_I="SI",(Datos!L18-Datos!V18)/Datos!V18,(Datos!L18+Datos!AF18-(Datos!V18+Datos!AN18))/(Datos!V18+Datos!AN18))," - ")</f>
        <v>-0.1206896551724138</v>
      </c>
      <c r="F18" s="515">
        <f>IF(ISNUMBER((Datos!M18-Datos!W18)/Datos!W18),(Datos!M18-Datos!W18)/Datos!W18," - ")</f>
        <v>2</v>
      </c>
      <c r="G18" s="516">
        <f>IF(ISNUMBER((Datos!N18-Datos!X18)/Datos!X18),(Datos!N18-Datos!X18)/Datos!X18," - ")</f>
        <v>-0.22580645161290322</v>
      </c>
      <c r="H18" s="514">
        <f>IF(ISNUMBER(((NºAsuntos!G18/NºAsuntos!E18)-Datos!BD18)/Datos!BD18),((NºAsuntos!G18/NºAsuntos!E18)-Datos!BD18)/Datos!BD18," - ")</f>
        <v>-2.340425531914888E-2</v>
      </c>
      <c r="I18" s="515">
        <f>IF(ISNUMBER(((NºAsuntos!I18/NºAsuntos!G18)-Datos!BE18)/Datos!BE18),((NºAsuntos!I18/NºAsuntos!G18)-Datos!BE18)/Datos!BE18," - ")</f>
        <v>-0.34865900383141762</v>
      </c>
      <c r="J18" s="521">
        <f>IF(ISNUMBER((('Resol  Asuntos'!D18/NºAsuntos!G18)-Datos!BF18)/Datos!BF18),(('Resol  Asuntos'!D18/NºAsuntos!G18)-Datos!BF18)/Datos!BF18," - ")</f>
        <v>1.2222222222222219</v>
      </c>
      <c r="K18" s="522">
        <f>IF(ISNUMBER((((NºAsuntos!C18+NºAsuntos!E18)/NºAsuntos!G18)-Datos!BG18)/Datos!BG18),(((NºAsuntos!C18+NºAsuntos!E18)/NºAsuntos!G18)-Datos!BG18)/Datos!BG18," - ")</f>
        <v>-0.20634920634920642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0.27221172022684309</v>
      </c>
      <c r="C23" s="1152">
        <f>IF(ISNUMBER(
   IF(Criterios!B14="SI",(Datos!J23-Datos!T23)/Datos!T23,(Datos!J23+Datos!AD23-(Datos!T23+Datos!AL23))/(Datos!T23+Datos!AL23))
     ),IF(Criterios!B14="SI",(Datos!J23-Datos!T23)/Datos!T23,(Datos!J23+Datos!AD23-(Datos!T23+Datos!AL23))/(Datos!T23+Datos!AL23))," - ")</f>
        <v>-3.6982248520710061E-2</v>
      </c>
      <c r="D23" s="1152">
        <f>IF(ISNUMBER(
   IF(Criterios!B14="SI",(Datos!K23-Datos!U23)/Datos!U23,(Datos!K23+Datos!AE23-(Datos!U23+Datos!AM23))/(Datos!U23+Datos!AM23))
     ),IF(Criterios!B14="SI",(Datos!K23-Datos!U23)/Datos!U23,(Datos!K23+Datos!AE23-(Datos!U23+Datos!AM23))/(Datos!U23+Datos!AM23))," - ")</f>
        <v>8.8791848617176122E-2</v>
      </c>
      <c r="E23" s="1152">
        <f>IF(ISNUMBER(
   IF(Criterios!B14="SI",(Datos!L23-Datos!V23)/Datos!V23,(Datos!L23+Datos!AF23-(Datos!V23+Datos!AN23))/(Datos!V23+Datos!AN23))
     ),IF(Criterios!B14="SI",(Datos!L23-Datos!V23)/Datos!V23,(Datos!L23+Datos!AF23-(Datos!V23+Datos!AN23))/(Datos!V23+Datos!AN23))," - ")</f>
        <v>0.1076923076923077</v>
      </c>
      <c r="F23" s="1153">
        <f>IF(ISNUMBER((Datos!M23-Datos!W23)/Datos!W23),(Datos!M23-Datos!W23)/Datos!W23," - ")</f>
        <v>0.44680851063829785</v>
      </c>
      <c r="G23" s="1154">
        <f>IF(ISNUMBER((Datos!N23-Datos!X23)/Datos!X23),(Datos!N23-Datos!X23)/Datos!X23," - ")</f>
        <v>6.7978533094812166E-2</v>
      </c>
      <c r="H23" s="1154">
        <f>IF(ISNUMBER(((NºAsuntos!G23/NºAsuntos!E23)-Datos!BD23)/Datos!BD23),((NºAsuntos!G23/NºAsuntos!E23)-Datos!BD23)/Datos!BD23," - ")</f>
        <v>0.130604131590186</v>
      </c>
      <c r="I23" s="1154">
        <f>IF(ISNUMBER(((NºAsuntos!I23/NºAsuntos!G23)-Datos!BE23)/Datos!BE23),((NºAsuntos!I23/NºAsuntos!G23)-Datos!BE23)/Datos!BE23," - ")</f>
        <v>1.7359111476758459E-2</v>
      </c>
      <c r="J23" s="1154">
        <f>IF(ISNUMBER((('Resol  Asuntos'!D23/NºAsuntos!G23)-Datos!BF23)/Datos!BF23),(('Resol  Asuntos'!D23/NºAsuntos!G23)-Datos!BF23)/Datos!BF23," - ")</f>
        <v>0.32882011605415867</v>
      </c>
      <c r="K23" s="1154">
        <f>IF(ISNUMBER((((NºAsuntos!C23+NºAsuntos!E23)/NºAsuntos!G23)-Datos!BG23)/Datos!BG23),(((NºAsuntos!C23+NºAsuntos!E23)/NºAsuntos!G23)-Datos!BG23)/Datos!BG23," - ")</f>
        <v>9.1508198903853758E-3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2.9903254177660508E-2</v>
      </c>
      <c r="C31" s="1092">
        <f>IF(ISNUMBER(
   IF(J_V="SI",(Datos!J31-Datos!T31)/Datos!T31,(Datos!J31+Datos!Z31-(Datos!T31+Datos!AH31))/(Datos!T31+Datos!AH31))
     ),IF(J_V="SI",(Datos!J31-Datos!T31)/Datos!T31,(Datos!J31+Datos!Z31-(Datos!T31+Datos!AH31))/(Datos!T31+Datos!AH31))," - ")</f>
        <v>-8.5167464114832531E-2</v>
      </c>
      <c r="D31" s="1092">
        <f>IF(ISNUMBER(
   IF(J_V="SI",(Datos!K31-Datos!U31)/Datos!U31,(Datos!K31+Datos!AA31-(Datos!U31+Datos!AI31))/(Datos!U31+Datos!AI31))
     ),IF(J_V="SI",(Datos!K31-Datos!U31)/Datos!U31,(Datos!K31+Datos!AA31-(Datos!U31+Datos!AI31))/(Datos!U31+Datos!AI31))," - ")</f>
        <v>-6.811731315042574E-2</v>
      </c>
      <c r="E31" s="1092">
        <f>IF(ISNUMBER(
   IF(J_V="SI",(Datos!L31-Datos!V31)/Datos!V31,(Datos!L31+Datos!AB31-(Datos!V31+Datos!AJ31))/(Datos!V31+Datos!AJ31))
     ),IF(J_V="SI",(Datos!L31-Datos!V31)/Datos!V31,(Datos!L31+Datos!AB31-(Datos!V31+Datos!AJ31))/(Datos!V31+Datos!AJ31))," - ")</f>
        <v>1.4209591474245116E-2</v>
      </c>
      <c r="F31" s="1093">
        <f>IF(ISNUMBER((Datos!M31-Datos!W31)/Datos!W31),(Datos!M31-Datos!W31)/Datos!W31," - ")</f>
        <v>-3.0534351145038167E-2</v>
      </c>
      <c r="G31" s="1094">
        <f>IF(ISNUMBER((Datos!N31-Datos!X31)/Datos!X31),(Datos!N31-Datos!X31)/Datos!X31," - ")</f>
        <v>-4.2194092827004218E-2</v>
      </c>
      <c r="H31" s="1095">
        <f>IF(ISNUMBER((Tasas!B31-Datos!BD31)/Datos!BD31),(Tasas!B31-Datos!BD31)/Datos!BD31," - ")</f>
        <v>1.8637455813603553E-2</v>
      </c>
      <c r="I31" s="1096">
        <f>IF(ISNUMBER((Tasas!C31-Datos!BE31)/Datos!BE31),(Tasas!C31-Datos!BE31)/Datos!BE31," - ")</f>
        <v>8.834470882058601E-2</v>
      </c>
      <c r="J31" s="1097">
        <f>IF(ISNUMBER((Tasas!D31-Datos!BF31)/Datos!BF31),(Tasas!D31-Datos!BF31)/Datos!BF31," - ")</f>
        <v>-0.32533045182690867</v>
      </c>
      <c r="K31" s="1097">
        <f>IF(ISNUMBER((Tasas!E31-Datos!BG31)/Datos!BG31),(Tasas!E31-Datos!BG31)/Datos!BG31," - ")</f>
        <v>4.6047727833171313E-2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xEXbL9ckAEA8WiV1JnrjFgRn69wa5wLeuLOSNNE5/I+5tuBG1FIOZbbp1z2lwb8b7yrM10iOs6HaZAVwqkAJQ==" saltValue="Cni+LeJWeZlgaQ1wYqtf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BAZA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3.5</v>
      </c>
      <c r="D10" s="499">
        <f>IF(ISNUMBER('Resol  Asuntos'!D10/NºAsuntos!G10),'Resol  Asuntos'!D10/NºAsuntos!G10," - ")</f>
        <v>1</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0.78983050847457625</v>
      </c>
      <c r="C12" s="498">
        <f>IF(ISNUMBER(NºAsuntos!I12/NºAsuntos!G12),NºAsuntos!I12/NºAsuntos!G12," - ")</f>
        <v>2.3690987124463518</v>
      </c>
      <c r="D12" s="499">
        <f>IF(ISNUMBER('Resol  Asuntos'!D12/NºAsuntos!G12),'Resol  Asuntos'!D12/NºAsuntos!G12," - ")</f>
        <v>0.23605150214592274</v>
      </c>
      <c r="E12" s="500">
        <f>IF(ISNUMBER((NºAsuntos!C12+NºAsuntos!E12)/NºAsuntos!G12),(NºAsuntos!C12+NºAsuntos!E12)/NºAsuntos!G12," - ")</f>
        <v>3.3690987124463518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0.77704918032786885</v>
      </c>
      <c r="C14" s="1156">
        <f>IF(ISNUMBER(NºAsuntos!I14/NºAsuntos!G14),NºAsuntos!I14/NºAsuntos!G14," - ")</f>
        <v>2.388185654008439</v>
      </c>
      <c r="D14" s="1157">
        <f>IF(ISNUMBER('Resol  Asuntos'!D14/NºAsuntos!G14),'Resol  Asuntos'!D14/NºAsuntos!G14," - ")</f>
        <v>0.24894514767932491</v>
      </c>
      <c r="E14" s="1158">
        <f>IF(ISNUMBER((NºAsuntos!C14+NºAsuntos!E14)/NºAsuntos!G14),(NºAsuntos!C14+NºAsuntos!E14)/NºAsuntos!G14," - ")</f>
        <v>3.388185654008439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1.1490066225165563</v>
      </c>
      <c r="C17" s="498">
        <f>IF(ISNUMBER(NºAsuntos!I17/NºAsuntos!G17),NºAsuntos!I17/NºAsuntos!G17," - ")</f>
        <v>0.75648414985590773</v>
      </c>
      <c r="D17" s="499">
        <f>IF(ISNUMBER('Resol  Asuntos'!D17/NºAsuntos!G17),'Resol  Asuntos'!D17/NºAsuntos!G17," - ")</f>
        <v>8.069164265129683E-2</v>
      </c>
      <c r="E17" s="500">
        <f>IF(ISNUMBER((NºAsuntos!C17+NºAsuntos!E17)/NºAsuntos!G17),(NºAsuntos!C17+NºAsuntos!E17)/NºAsuntos!G17," - ")</f>
        <v>1.7564841498559078</v>
      </c>
      <c r="G17" s="523"/>
    </row>
    <row r="18" spans="1:7">
      <c r="A18" s="450" t="str">
        <f>Datos!A18</f>
        <v>Jdos. Violencia contra la mujer</v>
      </c>
      <c r="B18" s="497">
        <f>IF(ISNUMBER(NºAsuntos!G18/NºAsuntos!E18),NºAsuntos!G18/NºAsuntos!E18," - ")</f>
        <v>1.1489361702127661</v>
      </c>
      <c r="C18" s="498">
        <f>IF(ISNUMBER(NºAsuntos!I18/NºAsuntos!G18),NºAsuntos!I18/NºAsuntos!G18," - ")</f>
        <v>0.94444444444444442</v>
      </c>
      <c r="D18" s="499">
        <f>IF(ISNUMBER('Resol  Asuntos'!D18/NºAsuntos!G18),'Resol  Asuntos'!D18/NºAsuntos!G18," - ")</f>
        <v>0.22222222222222221</v>
      </c>
      <c r="E18" s="500">
        <f>IF(ISNUMBER((NºAsuntos!C18+NºAsuntos!E18)/NºAsuntos!G18),(NºAsuntos!C18+NºAsuntos!E18)/NºAsuntos!G18," - ")</f>
        <v>1.9444444444444444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1.1490015360983103</v>
      </c>
      <c r="C23" s="1156">
        <f>IF(ISNUMBER(NºAsuntos!I23/NºAsuntos!G23),NºAsuntos!I23/NºAsuntos!G23," - ")</f>
        <v>0.77005347593582885</v>
      </c>
      <c r="D23" s="1159">
        <f>IF(ISNUMBER('Resol  Asuntos'!D23/NºAsuntos!G23),'Resol  Asuntos'!D23/NºAsuntos!G23," - ")</f>
        <v>9.0909090909090912E-2</v>
      </c>
      <c r="E23" s="1158">
        <f>IF(ISNUMBER((NºAsuntos!C23+NºAsuntos!E23)/NºAsuntos!G23),(NºAsuntos!C23+NºAsuntos!E23)/NºAsuntos!G23," - ")</f>
        <v>1.7700534759358288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1.0303347280334727</v>
      </c>
      <c r="C31" s="1099">
        <f>IF(ISNUMBER(NºAsuntos!I31/NºAsuntos!G31),NºAsuntos!I31/NºAsuntos!G31," - ")</f>
        <v>1.1593908629441625</v>
      </c>
      <c r="D31" s="1100">
        <f>IF(ISNUMBER('Resol  Asuntos'!D31/NºAsuntos!G31),'Resol  Asuntos'!D31/NºAsuntos!G31," - ")</f>
        <v>0.12893401015228426</v>
      </c>
      <c r="E31" s="1101">
        <f>IF(ISNUMBER((NºAsuntos!C31+NºAsuntos!E31)/NºAsuntos!G31),(NºAsuntos!C31+NºAsuntos!E31)/NºAsuntos!G31," - ")</f>
        <v>2.1593908629441625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37GUOSMrYQ2rP0syzkT6F79LLmdoNOhriyxI9NrhzzFIhZb9KKu6V1CXn/p1a+eszjICTlXb/eOyK6t+jMU2Q==" saltValue="PlsbysfBRRQWLXu/Jn8K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BAZA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14</v>
      </c>
      <c r="AB10" s="374">
        <f>IF(ISNUMBER(Datos!R10),Datos!R10," - ")</f>
        <v>5</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10.5</v>
      </c>
      <c r="AN10" s="267">
        <f>IF(ISNUMBER('Resol  Asuntos'!D10/NºAsuntos!G10),'Resol  Asuntos'!D10/NºAsuntos!G10," - ")</f>
        <v>1</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0.78983050847457625</v>
      </c>
      <c r="AM12" s="284">
        <f>IF(ISNUMBER(((NºAsuntos!I12/NºAsuntos!G12)*11)/factor_trimestre),((NºAsuntos!I12/NºAsuntos!G12)*11)/factor_trimestre," - ")</f>
        <v>7.1072961373390555</v>
      </c>
      <c r="AN12" s="267">
        <f>IF(ISNUMBER('Resol  Asuntos'!D12/NºAsuntos!G12),'Resol  Asuntos'!D12/NºAsuntos!G12," - ")</f>
        <v>0.23605150214592274</v>
      </c>
      <c r="AO12" s="268">
        <f>IF(ISNUMBER((NºAsuntos!C12+NºAsuntos!E12)/NºAsuntos!G12),(NºAsuntos!C12+NºAsuntos!E12)/NºAsuntos!G12," - ")</f>
        <v>3.3690987124463518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87</v>
      </c>
      <c r="Y14" s="1165">
        <f t="shared" si="6"/>
        <v>91</v>
      </c>
      <c r="Z14" s="1165">
        <f t="shared" si="6"/>
        <v>0</v>
      </c>
      <c r="AA14" s="1165">
        <f t="shared" si="6"/>
        <v>14</v>
      </c>
      <c r="AB14" s="1165">
        <f t="shared" si="6"/>
        <v>966</v>
      </c>
      <c r="AC14" s="1165">
        <f t="shared" si="6"/>
        <v>19</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0.77704918032786885</v>
      </c>
      <c r="AM14" s="1171">
        <f>IF(ISNUMBER(((NºAsuntos!I14/NºAsuntos!G14)*11)/factor_trimestre),((NºAsuntos!I14/NºAsuntos!G14)*11)/factor_trimestre," - ")</f>
        <v>7.1645569620253164</v>
      </c>
      <c r="AN14" s="1172">
        <f>IF(ISNUMBER('Resol  Asuntos'!D14/NºAsuntos!G14),'Resol  Asuntos'!D14/NºAsuntos!G14," - ")</f>
        <v>0.24894514767932491</v>
      </c>
      <c r="AO14" s="1173">
        <f>IF(ISNUMBER((NºAsuntos!C14+NºAsuntos!E14)/NºAsuntos!G14),(NºAsuntos!C14+NºAsuntos!E14)/NºAsuntos!G14," - ")</f>
        <v>3.388185654008439</v>
      </c>
      <c r="AP14" s="1174" t="str">
        <f t="shared" si="2"/>
        <v xml:space="preserve"> - </v>
      </c>
      <c r="AQ14" s="1174">
        <f>IF(ISNUMBER((H14-W14+K14)/(F14)),(H14-W14+K14)/(F14)," - ")</f>
        <v>-0.5</v>
      </c>
      <c r="AR14" s="1175">
        <f>IF(ISNUMBER((Datos!P14-Datos!Q14)/(Datos!R14-Datos!P14+Datos!Q14)),(Datos!P14-Datos!Q14)/(Datos!R14-Datos!P14+Datos!Q14)," - ")</f>
        <v>-2.3255813953488372E-2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615</v>
      </c>
      <c r="G17" s="373">
        <f>IF(ISNUMBER(IF(D_I="SI",Datos!I17,Datos!I17+Datos!AC17)),IF(D_I="SI",Datos!I17,Datos!I17+Datos!AC17)," - ")</f>
        <v>615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694</v>
      </c>
      <c r="X17" s="240">
        <f>IF(ISNUMBER(Datos!Q17),Datos!Q17," - ")</f>
        <v>21</v>
      </c>
      <c r="Y17" s="374">
        <f t="shared" ref="Y17:Y22" si="9">SUM(W17:X17)</f>
        <v>715</v>
      </c>
      <c r="Z17" s="375" t="str">
        <f>IF(ISNUMBER(Datos!CC17),Datos!CC17," - ")</f>
        <v xml:space="preserve"> - </v>
      </c>
      <c r="AA17" s="372">
        <f>IF(ISNUMBER(IF(D_I="SI",Datos!L17,Datos!L17+Datos!AF17)),IF(D_I="SI",Datos!L17,Datos!L17+Datos!AF17)," - ")</f>
        <v>525</v>
      </c>
      <c r="AB17" s="374">
        <f>IF(ISNUMBER(Datos!R17),Datos!R17," - ")</f>
        <v>25</v>
      </c>
      <c r="AC17" s="374">
        <f t="shared" si="8"/>
        <v>550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1.1490066225165563</v>
      </c>
      <c r="AM17" s="284">
        <f>IF(ISNUMBER(((NºAsuntos!I17/NºAsuntos!G17)*11)/factor_trimestre),((NºAsuntos!I17/NºAsuntos!G17)*11)/factor_trimestre," - ")</f>
        <v>2.2694524495677233</v>
      </c>
      <c r="AN17" s="267">
        <f>IF(ISNUMBER('Resol  Asuntos'!D17/NºAsuntos!G17),'Resol  Asuntos'!D17/NºAsuntos!G17," - ")</f>
        <v>8.069164265129683E-2</v>
      </c>
      <c r="AO17" s="268">
        <f>IF(ISNUMBER((NºAsuntos!C17+NºAsuntos!E17)/NºAsuntos!G17),(NºAsuntos!C17+NºAsuntos!E17)/NºAsuntos!G17," - ")</f>
        <v>1.7564841498559078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2</v>
      </c>
      <c r="Y18" s="374">
        <f t="shared" si="9"/>
        <v>56</v>
      </c>
      <c r="Z18" s="375" t="str">
        <f>IF(ISNUMBER(Datos!CC18),Datos!CC18," - ")</f>
        <v xml:space="preserve"> - </v>
      </c>
      <c r="AA18" s="372">
        <f>IF(ISNUMBER(Datos!L18),Datos!L18,"-")</f>
        <v>51</v>
      </c>
      <c r="AB18" s="374">
        <f>IF(ISNUMBER(Datos!R18),Datos!R18," - ")</f>
        <v>3</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1.1489361702127661</v>
      </c>
      <c r="AM18" s="284">
        <f>IF(ISNUMBER(((NºAsuntos!I18/NºAsuntos!G18)*11)/factor_trimestre),((NºAsuntos!I18/NºAsuntos!G18)*11)/factor_trimestre," - ")</f>
        <v>2.8333333333333335</v>
      </c>
      <c r="AN18" s="267">
        <f>IF(ISNUMBER('Resol  Asuntos'!D18/NºAsuntos!G18),'Resol  Asuntos'!D18/NºAsuntos!G18," - ")</f>
        <v>0.22222222222222221</v>
      </c>
      <c r="AO18" s="268">
        <f>IF(ISNUMBER((NºAsuntos!C18+NºAsuntos!E18)/NºAsuntos!G18),(NºAsuntos!C18+NºAsuntos!E18)/NºAsuntos!G18," - ")</f>
        <v>1.9444444444444444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615</v>
      </c>
      <c r="G23" s="1163">
        <f>SUBTOTAL(9,G16:G22)</f>
        <v>673</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748</v>
      </c>
      <c r="X23" s="1164">
        <f t="shared" si="14"/>
        <v>23</v>
      </c>
      <c r="Y23" s="1165">
        <f t="shared" si="14"/>
        <v>771</v>
      </c>
      <c r="Z23" s="1165">
        <f t="shared" si="14"/>
        <v>0</v>
      </c>
      <c r="AA23" s="1165">
        <f t="shared" si="14"/>
        <v>576</v>
      </c>
      <c r="AB23" s="1165">
        <f t="shared" si="14"/>
        <v>28</v>
      </c>
      <c r="AC23" s="1165">
        <f t="shared" si="14"/>
        <v>604</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1.1490015360983103</v>
      </c>
      <c r="AM23" s="1171">
        <f>IF(ISNUMBER(((NºAsuntos!I23/NºAsuntos!G23)*11)/factor_trimestre),((NºAsuntos!I23/NºAsuntos!G23)*11)/factor_trimestre," - ")</f>
        <v>2.3101604278074865</v>
      </c>
      <c r="AN23" s="1172">
        <f>IF(ISNUMBER('Resol  Asuntos'!D23/NºAsuntos!G23),'Resol  Asuntos'!D23/NºAsuntos!G23," - ")</f>
        <v>9.0909090909090912E-2</v>
      </c>
      <c r="AO23" s="1173">
        <f>IF(ISNUMBER((NºAsuntos!C23+NºAsuntos!E23)/NºAsuntos!G23),(NºAsuntos!C23+NºAsuntos!E23)/NºAsuntos!G23," - ")</f>
        <v>1.7700534759358288</v>
      </c>
      <c r="AP23" s="1174" t="str">
        <f t="shared" si="2"/>
        <v xml:space="preserve"> - </v>
      </c>
      <c r="AQ23" s="1174">
        <f>IF(ISNUMBER((H23-W23+K23)/(F23)),(H23-W23+K23)/(F23)," - ")</f>
        <v>-1.2162601626016261</v>
      </c>
      <c r="AR23" s="1175">
        <f>IF(ISNUMBER((Datos!P23-Datos!Q23)/(Datos!R23-Datos!P23+Datos!Q23)),(Datos!P23-Datos!Q23)/(Datos!R23-Datos!P23+Datos!Q23)," - ")</f>
        <v>-0.39130434782608697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623</v>
      </c>
      <c r="G31" s="1118">
        <f t="shared" si="20"/>
        <v>681</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752</v>
      </c>
      <c r="X31" s="1118">
        <f t="shared" si="21"/>
        <v>110</v>
      </c>
      <c r="Y31" s="1125">
        <f t="shared" si="21"/>
        <v>862</v>
      </c>
      <c r="Z31" s="1125">
        <f t="shared" si="21"/>
        <v>0</v>
      </c>
      <c r="AA31" s="1125">
        <f t="shared" si="21"/>
        <v>590</v>
      </c>
      <c r="AB31" s="1125">
        <f t="shared" si="21"/>
        <v>994</v>
      </c>
      <c r="AC31" s="1125">
        <f t="shared" si="21"/>
        <v>623</v>
      </c>
      <c r="AD31" s="1125">
        <f t="shared" si="21"/>
        <v>0</v>
      </c>
      <c r="AE31" s="1127">
        <f t="shared" si="21"/>
        <v>0</v>
      </c>
      <c r="AF31" s="1128">
        <f t="shared" si="21"/>
        <v>0</v>
      </c>
      <c r="AG31" s="1129">
        <f t="shared" si="21"/>
        <v>0</v>
      </c>
      <c r="AH31" s="1127">
        <f t="shared" si="21"/>
        <v>0</v>
      </c>
      <c r="AI31" s="1117">
        <f t="shared" si="21"/>
        <v>127</v>
      </c>
      <c r="AJ31" s="1117">
        <f t="shared" si="21"/>
        <v>0</v>
      </c>
      <c r="AK31" s="1127">
        <f t="shared" si="21"/>
        <v>0</v>
      </c>
      <c r="AL31" s="1183">
        <f>IF(ISNUMBER(NºAsuntos!G31/NºAsuntos!E31),NºAsuntos!G31/NºAsuntos!E31," - ")</f>
        <v>1.0303347280334727</v>
      </c>
      <c r="AM31" s="1184">
        <f>IF(ISNUMBER(((NºAsuntos!I31/NºAsuntos!G31)*11)/factor_trimestre),((NºAsuntos!I31/NºAsuntos!G31)*11)/factor_trimestre," - ")</f>
        <v>3.4781725888324875</v>
      </c>
      <c r="AN31" s="1184">
        <f>IF(ISNUMBER('Resol  Asuntos'!D31/NºAsuntos!G31),'Resol  Asuntos'!D31/NºAsuntos!G31," - ")</f>
        <v>0.12893401015228426</v>
      </c>
      <c r="AO31" s="1185">
        <f>IF(ISNUMBER((NºAsuntos!C31+NºAsuntos!E31)/NºAsuntos!G31),(NºAsuntos!C31+NºAsuntos!E31)/NºAsuntos!G31," - ")</f>
        <v>2.1593908629441625</v>
      </c>
      <c r="AP31" s="1186" t="str">
        <f t="shared" si="2"/>
        <v xml:space="preserve"> - </v>
      </c>
      <c r="AQ31" s="1187">
        <f>IF(OR(ISNUMBER(FIND("01",Criterios!A8,1)),ISNUMBER(FIND("02",Criterios!A8,1)),ISNUMBER(FIND("03",Criterios!A8,1)),ISNUMBER(FIND("04",Criterios!A8,1))),(I31-W31+K31)/(F31-K31),(H31-W31+K31)/(F31-K31))</f>
        <v>-1.2070626003210272</v>
      </c>
      <c r="AR31" s="1188">
        <f>IF(ISNUMBER((Datos!P31-Datos!Q31)/(Datos!R31-Datos!P31+Datos!Q31)),(Datos!P31-Datos!Q31)/(Datos!R31-Datos!P31+Datos!Q31)," - ")</f>
        <v>-3.961352657004831E-2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315.53932665622943</v>
      </c>
      <c r="G33" s="277">
        <f>IF(ISNUMBER(STDEV(G8:G30)),STDEV(G8:G30),"-")</f>
        <v>308.1232746498589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346.6369034842408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30.146072949651575</v>
      </c>
      <c r="AJ33" s="276">
        <f t="shared" si="25"/>
        <v>0</v>
      </c>
      <c r="AK33" s="278">
        <f t="shared" si="25"/>
        <v>0</v>
      </c>
      <c r="AL33" s="273">
        <f t="shared" si="25"/>
        <v>0.30436742605620515</v>
      </c>
      <c r="AM33" s="274">
        <f t="shared" si="25"/>
        <v>3.4048793559193693</v>
      </c>
      <c r="AN33" s="274">
        <f t="shared" si="25"/>
        <v>0.34453595841423612</v>
      </c>
      <c r="AO33" s="275">
        <f t="shared" si="25"/>
        <v>1.1349597853064559</v>
      </c>
      <c r="AP33" s="317" t="str">
        <f t="shared" si="25"/>
        <v>-</v>
      </c>
      <c r="AQ33" s="318">
        <f t="shared" si="25"/>
        <v>0.50647241806938881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dz12VeXF20FowzuqRtEuKNjzJv4tN0uvQsTGzGC/0mKVuPUiT9ACSDLMls+WdA8IAVmjL/KU+rS5diz3ni0hw==" saltValue="bjYZezMVOWYWlP4XyKrz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BAZA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1.5</v>
      </c>
      <c r="F10" s="393">
        <f>IF(ISNUMBER((Datos!K10-Datos!U10)/Datos!U10),(Datos!K10-Datos!U10)/Datos!U10," - ")</f>
        <v>-0.2</v>
      </c>
      <c r="G10" s="394">
        <f>IF(ISNUMBER((Datos!L10-Datos!V10)/Datos!V10),(Datos!L10-Datos!V10)/Datos!V10," - ")</f>
        <v>-0.125</v>
      </c>
      <c r="H10" s="244">
        <f>IF(ISNUMBER((Datos!M10-Datos!W10)/Datos!W10),(Datos!M10-Datos!W10)/Datos!W10," - ")</f>
        <v>0</v>
      </c>
      <c r="I10" s="395">
        <f>IF(ISNUMBER((Tasas!C10-Datos!BE10)/Datos!BE10),(Tasas!C10-Datos!BE10)/Datos!BE10," - ")</f>
        <v>9.3749999999999944E-2</v>
      </c>
      <c r="J10" s="394">
        <f>IF(ISNUMBER((Tasas!D10-Datos!BF10)/Datos!BF10),(Tasas!D10-Datos!BF10)/Datos!BF10," - ")</f>
        <v>0.24999999999999994</v>
      </c>
      <c r="K10" s="396">
        <f>IF(ISNUMBER((Tasas!E10-Datos!BG10)/Datos!BG10),(Tasas!E10-Datos!BG10)/Datos!BG10," - ")</f>
        <v>2.2727272727272645E-2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-0.3125</v>
      </c>
      <c r="I12" s="395">
        <f>IF(ISNUMBER((Tasas!C12-Datos!BE12)/Datos!BE12),(Tasas!C12-Datos!BE12)/Datos!BE12," - ")</f>
        <v>0.46562886447952273</v>
      </c>
      <c r="J12" s="394">
        <f>IF(ISNUMBER((Tasas!D12-Datos!BF12)/Datos!BF12),(Tasas!D12-Datos!BF12)/Datos!BF12," - ")</f>
        <v>-0.42941193189892851</v>
      </c>
      <c r="K12" s="396">
        <f>IF(ISNUMBER((Tasas!E12-Datos!BG12)/Datos!BG12),(Tasas!E12-Datos!BG12)/Datos!BG12," - ")</f>
        <v>0.28766600004494086</v>
      </c>
      <c r="M12" t="e">
        <f>IF(Monitorios="SI",Datos!CE12,0)</f>
        <v>#REF!</v>
      </c>
      <c r="N12" t="e">
        <f>IF(Monitorios="SI",Datos!CF12,0)</f>
        <v>#REF!</v>
      </c>
      <c r="O12" t="e">
        <f>IF(Monitorios="SI",Datos!CG12,0)</f>
        <v>#REF!</v>
      </c>
      <c r="P12" t="e">
        <f>IF(Monitorios="SI",Datos!CH12,0)</f>
        <v>#REF!</v>
      </c>
      <c r="Q12">
        <f>IF(J_V="SI",0,Datos!AG12)</f>
        <v>11</v>
      </c>
      <c r="R12">
        <f>IF(J_V="SI",0,Datos!AH12)</f>
        <v>57</v>
      </c>
      <c r="S12">
        <f>IF(J_V="SI",0,Datos!AI12)</f>
        <v>44</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-0.29761904761904762</v>
      </c>
      <c r="I14" s="402">
        <f>IF(ISNUMBER((Tasas!C14-Datos!BE14)/Datos!BE14),(Tasas!C14-Datos!BE14)/Datos!BE14," - ")</f>
        <v>0.45813315508766084</v>
      </c>
      <c r="J14" s="400">
        <f>IF(ISNUMBER((Tasas!D14-Datos!BF14)/Datos!BF14),(Tasas!D14-Datos!BF14)/Datos!BF14," - ")</f>
        <v>-0.40574384102354699</v>
      </c>
      <c r="K14" s="403">
        <f>IF(ISNUMBER((Tasas!E14-Datos!BG14)/Datos!BG14),(Tasas!E14-Datos!BG14)/Datos!BG14," - ")</f>
        <v>0.28314093345253066</v>
      </c>
      <c r="M14" t="e">
        <f>IF(Monitorios="SI",Datos!CE14,0)</f>
        <v>#REF!</v>
      </c>
      <c r="N14" t="e">
        <f>IF(Monitorios="SI",Datos!CF14,0)</f>
        <v>#REF!</v>
      </c>
      <c r="O14" t="e">
        <f>IF(Monitorios="SI",Datos!CG14,0)</f>
        <v>#REF!</v>
      </c>
      <c r="P14" t="e">
        <f>IF(Monitorios="SI",Datos!CH14,0)</f>
        <v>#REF!</v>
      </c>
      <c r="Q14">
        <f>IF(J_V="SI",0,Datos!AG14)</f>
        <v>11</v>
      </c>
      <c r="R14">
        <f>IF(J_V="SI",0,Datos!AH14)</f>
        <v>57</v>
      </c>
      <c r="S14">
        <f>IF(J_V="SI",0,Datos!AI14)</f>
        <v>44</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0.32258064516129031</v>
      </c>
      <c r="E17" s="393">
        <f>IF(ISNUMBER(
   IF(D_I="SI",(Datos!J17-Datos!T17)/Datos!T17,(Datos!J17+Datos!AD17-(Datos!T17+Datos!AL17))/(Datos!T17+Datos!AL17))
     ),IF(D_I="SI",(Datos!J17-Datos!T17)/Datos!T17,(Datos!J17+Datos!AD17-(Datos!T17+Datos!AL17))/(Datos!T17+Datos!AL17))," - ")</f>
        <v>-5.9190031152647975E-2</v>
      </c>
      <c r="F17" s="393">
        <f>IF(ISNUMBER(
   IF(D_I="SI",(Datos!K17-Datos!U17)/Datos!U17,(Datos!K17+Datos!AE17-(Datos!U17+Datos!AM17))/(Datos!U17+Datos!AM17))
     ),IF(D_I="SI",(Datos!K17-Datos!U17)/Datos!U17,(Datos!K17+Datos!AE17-(Datos!U17+Datos!AM17))/(Datos!U17+Datos!AM17))," - ")</f>
        <v>7.2642967542503864E-2</v>
      </c>
      <c r="G17" s="394">
        <f>IF(ISNUMBER(
   IF(D_I="SI",(Datos!L17-Datos!V17)/Datos!V17,(Datos!L17+Datos!AF17-(Datos!V17+Datos!AN17))/(Datos!V17+Datos!AN17))
     ),IF(D_I="SI",(Datos!L17-Datos!V17)/Datos!V17,(Datos!L17+Datos!AF17-(Datos!V17+Datos!AN17))/(Datos!V17+Datos!AN17))," - ")</f>
        <v>0.13636363636363635</v>
      </c>
      <c r="H17" s="244">
        <f>IF(ISNUMBER((Datos!M17-Datos!W17)/Datos!W17),(Datos!M17-Datos!W17)/Datos!W17," - ")</f>
        <v>0.30232558139534882</v>
      </c>
      <c r="I17" s="395">
        <f>IF(ISNUMBER((Tasas!C17-Datos!BE17)/Datos!BE17),(Tasas!C17-Datos!BE17)/Datos!BE17," - ")</f>
        <v>5.9405292114225822E-2</v>
      </c>
      <c r="J17" s="394">
        <f>IF(ISNUMBER((Tasas!D17-Datos!BF17)/Datos!BF17),(Tasas!D17-Datos!BF17)/Datos!BF17," - ")</f>
        <v>0.21412773942765218</v>
      </c>
      <c r="K17" s="396">
        <f>IF(ISNUMBER((Tasas!E17-Datos!BG17)/Datos!BG17),(Tasas!E17-Datos!BG17)/Datos!BG17," - ")</f>
        <v>2.6599137268990387E-2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-9.375E-2</v>
      </c>
      <c r="E18" s="393">
        <f>IF(ISNUMBER(
   IF(D_I="SI",(Datos!J18-Datos!T18)/Datos!T18,(Datos!J18+Datos!AD18-(Datos!T18+Datos!AL18))/(Datos!T18+Datos!AL18))
     ),IF(D_I="SI",(Datos!J18-Datos!T18)/Datos!T18,(Datos!J18+Datos!AD18-(Datos!T18+Datos!AL18))/(Datos!T18+Datos!AL18))," - ")</f>
        <v>0.38235294117647056</v>
      </c>
      <c r="F18" s="393">
        <f>IF(ISNUMBER(
   IF(D_I="SI",(Datos!K18-Datos!U18)/Datos!U18,(Datos!K18+Datos!AE18-(Datos!U18+Datos!AM18))/(Datos!U18+Datos!AM18))
     ),IF(D_I="SI",(Datos!K18-Datos!U18)/Datos!U18,(Datos!K18+Datos!AE18-(Datos!U18+Datos!AM18))/(Datos!U18+Datos!AM18))," - ")</f>
        <v>0.35</v>
      </c>
      <c r="G18" s="394">
        <f>IF(ISNUMBER(
   IF(D_I="SI",(Datos!L18-Datos!V18)/Datos!V18,(Datos!L18+Datos!AF18-(Datos!V18+Datos!AN18))/(Datos!V18+Datos!AN18))
     ),IF(D_I="SI",(Datos!L18-Datos!V18)/Datos!V18,(Datos!L18+Datos!AF18-(Datos!V18+Datos!AN18))/(Datos!V18+Datos!AN18))," - ")</f>
        <v>-0.1206896551724138</v>
      </c>
      <c r="H18" s="244">
        <f>IF(ISNUMBER((Datos!M18-Datos!W18)/Datos!W18),(Datos!M18-Datos!W18)/Datos!W18," - ")</f>
        <v>2</v>
      </c>
      <c r="I18" s="395">
        <f>IF(ISNUMBER((Tasas!C18-Datos!BE18)/Datos!BE18),(Tasas!C18-Datos!BE18)/Datos!BE18," - ")</f>
        <v>-0.34865900383141762</v>
      </c>
      <c r="J18" s="394">
        <f>IF(ISNUMBER((Tasas!D18-Datos!BF18)/Datos!BF18),(Tasas!D18-Datos!BF18)/Datos!BF18," - ")</f>
        <v>1.2222222222222219</v>
      </c>
      <c r="K18" s="396">
        <f>IF(ISNUMBER((Tasas!E18-Datos!BG18)/Datos!BG18),(Tasas!E18-Datos!BG18)/Datos!BG18," - ")</f>
        <v>-0.20634920634920642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0.27221172022684309</v>
      </c>
      <c r="E23" s="399">
        <f>IF(ISNUMBER(
   IF(D_I="SI",(Datos!J23-Datos!T23)/Datos!T23,(Datos!J23+Datos!AD23-(Datos!T23+Datos!AL23))/(Datos!T23+Datos!AL23))
     ),IF(D_I="SI",(Datos!J23-Datos!T23)/Datos!T23,(Datos!J23+Datos!AD23-(Datos!T23+Datos!AL23))/(Datos!T23+Datos!AL23))," - ")</f>
        <v>-3.6982248520710061E-2</v>
      </c>
      <c r="F23" s="399">
        <f>IF(ISNUMBER(
   IF(D_I="SI",(Datos!K23-Datos!U23)/Datos!U23,(Datos!K23+Datos!AE23-(Datos!U23+Datos!AM23))/(Datos!U23+Datos!AM23))
     ),IF(D_I="SI",(Datos!K23-Datos!U23)/Datos!U23,(Datos!K23+Datos!AE23-(Datos!U23+Datos!AM23))/(Datos!U23+Datos!AM23))," - ")</f>
        <v>8.8791848617176122E-2</v>
      </c>
      <c r="G23" s="400">
        <f>IF(ISNUMBER(
   IF(D_I="SI",(Datos!L23-Datos!V23)/Datos!V23,(Datos!L23+Datos!AF23-(Datos!V23+Datos!AN23))/(Datos!V23+Datos!AN23))
     ),IF(D_I="SI",(Datos!L23-Datos!V23)/Datos!V23,(Datos!L23+Datos!AF23-(Datos!V23+Datos!AN23))/(Datos!V23+Datos!AN23))," - ")</f>
        <v>0.1076923076923077</v>
      </c>
      <c r="H23" s="401">
        <f>IF(ISNUMBER((Datos!M23-Datos!W23)/Datos!W23),(Datos!M23-Datos!W23)/Datos!W23," - ")</f>
        <v>0.44680851063829785</v>
      </c>
      <c r="I23" s="402">
        <f>IF(ISNUMBER((Tasas!C23-Datos!BE23)/Datos!BE23),(Tasas!C23-Datos!BE23)/Datos!BE23," - ")</f>
        <v>1.7359111476758459E-2</v>
      </c>
      <c r="J23" s="400">
        <f>IF(ISNUMBER((Tasas!D23-Datos!BF23)/Datos!BF23),(Tasas!D23-Datos!BF23)/Datos!BF23," - ")</f>
        <v>0.32882011605415867</v>
      </c>
      <c r="K23" s="403">
        <f>IF(ISNUMBER((Tasas!E23-Datos!BG23)/Datos!BG23),(Tasas!E23-Datos!BG23)/Datos!BG23," - ")</f>
        <v>9.1508198903853758E-3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2.9903254177660508E-2</v>
      </c>
      <c r="E31" s="409">
        <f>IF(ISNUMBER(
   IF(J_V="SI",(Datos!J31-Datos!T31)/Datos!T31,(Datos!J31+Datos!Z31-(Datos!T31+Datos!AH31))/(Datos!T31+Datos!AH31))
     ),IF(J_V="SI",(Datos!J31-Datos!T31)/Datos!T31,(Datos!J31+Datos!Z31-(Datos!T31+Datos!AH31))/(Datos!T31+Datos!AH31))," - ")</f>
        <v>-8.5167464114832531E-2</v>
      </c>
      <c r="F31" s="409">
        <f>IF(ISNUMBER(
   IF(J_V="SI",(Datos!K31-Datos!U31)/Datos!U31,(Datos!K31+Datos!AA31-(Datos!U31+Datos!AI31))/(Datos!U31+Datos!AI31))
     ),IF(J_V="SI",(Datos!K31-Datos!U31)/Datos!U31,(Datos!K31+Datos!AA31-(Datos!U31+Datos!AI31))/(Datos!U31+Datos!AI31))," - ")</f>
        <v>-6.811731315042574E-2</v>
      </c>
      <c r="G31" s="410">
        <f>IF(ISNUMBER(
   IF(J_V="SI",(Datos!L31-Datos!V31)/Datos!V31,(Datos!L31+Datos!AB31-(Datos!V31+Datos!AJ31))/(Datos!V31+Datos!AJ31))
     ),IF(J_V="SI",(Datos!L31-Datos!V31)/Datos!V31,(Datos!L31+Datos!AB31-(Datos!V31+Datos!AJ31))/(Datos!V31+Datos!AJ31))," - ")</f>
        <v>1.4209591474245116E-2</v>
      </c>
      <c r="H31" s="411">
        <f>IF(ISNUMBER((Datos!M31-Datos!W31)/Datos!W31),(Datos!M31-Datos!W31)/Datos!W31," - ")</f>
        <v>-3.0534351145038167E-2</v>
      </c>
      <c r="I31" s="408">
        <f>IF(ISNUMBER((Tasas!C31-Datos!BE31)/Datos!BE31),(Tasas!C31-Datos!BE31)/Datos!BE31," - ")</f>
        <v>8.834470882058601E-2</v>
      </c>
      <c r="J31" s="409">
        <f>IF(ISNUMBER((Tasas!D31-Datos!BF31)/Datos!BF31),(Tasas!D31-Datos!BF31)/Datos!BF31," - ")</f>
        <v>-0.32533045182690867</v>
      </c>
      <c r="K31" s="410">
        <f>IF(ISNUMBER((Tasas!E31-Datos!BG31)/Datos!BG31),(Tasas!E31-Datos!BG31)/Datos!BG31," - ")</f>
        <v>4.6047727833171313E-2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0.40613856793571335</v>
      </c>
      <c r="E33" s="303">
        <f t="shared" si="1"/>
        <v>0.73108471447976375</v>
      </c>
      <c r="F33" s="303">
        <f t="shared" si="1"/>
        <v>0.22465757790849417</v>
      </c>
      <c r="G33" s="304">
        <f t="shared" si="1"/>
        <v>0.14187200812826778</v>
      </c>
      <c r="H33" s="310">
        <f t="shared" si="1"/>
        <v>0.86194056908178862</v>
      </c>
      <c r="I33" s="302">
        <f t="shared" si="1"/>
        <v>0.30601345139115682</v>
      </c>
      <c r="J33" s="303">
        <f t="shared" si="1"/>
        <v>0.60452475491837732</v>
      </c>
      <c r="K33" s="304">
        <f t="shared" si="1"/>
        <v>0.18814673083840372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wMsNUE4GVxXLBcGpVp1bq5KPykRzfIfcWjxcfZYjCvk5yz5jnD9uBc3cDufGlweuoM9phvaDXVqrnGSCFnwOA==" saltValue="ebZHzZfz6qS6/9ZByNHY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